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140" windowWidth="8895" windowHeight="5010" tabRatio="885" activeTab="3"/>
  </bookViews>
  <sheets>
    <sheet name="Comptes semestriels" sheetId="1" r:id="rId1"/>
    <sheet name="BILACT" sheetId="2" r:id="rId2"/>
    <sheet name="BILPASS" sheetId="3" r:id="rId3"/>
    <sheet name="CDR" sheetId="4" r:id="rId4"/>
    <sheet name="NOTE 2" sheetId="5" r:id="rId5"/>
    <sheet name="NOTE 3" sheetId="6" r:id="rId6"/>
    <sheet name="NOTE 4" sheetId="7" r:id="rId7"/>
    <sheet name="NOTE 5 " sheetId="8" r:id="rId8"/>
    <sheet name="NOTE 6" sheetId="9" r:id="rId9"/>
    <sheet name="NOTE 7" sheetId="10" r:id="rId10"/>
    <sheet name="NOTE 8" sheetId="11" r:id="rId11"/>
  </sheets>
  <definedNames>
    <definedName name="_xlnm.Print_Area" localSheetId="1">'BILACT'!$A$1:$J$66</definedName>
    <definedName name="_xlnm.Print_Area" localSheetId="2">'BILPASS'!$A$1:$I$75</definedName>
    <definedName name="_xlnm.Print_Area" localSheetId="3">'CDR'!$A$2:$N$63</definedName>
    <definedName name="_xlnm.Print_Area" localSheetId="0">'Comptes semestriels'!$A$1:$J$22</definedName>
    <definedName name="_xlnm.Print_Area" localSheetId="5">'NOTE 3'!$A$1:$K$57</definedName>
    <definedName name="_xlnm.Print_Area" localSheetId="6">'NOTE 4'!$A$1:$I$43</definedName>
    <definedName name="_xlnm.Print_Area" localSheetId="8">'NOTE 6'!$A$1:$I$34</definedName>
    <definedName name="_xlnm.Print_Area" localSheetId="10">'NOTE 8'!$A$1:$L$49</definedName>
  </definedNames>
  <calcPr calcMode="manual" fullCalcOnLoad="1"/>
</workbook>
</file>

<file path=xl/comments5.xml><?xml version="1.0" encoding="utf-8"?>
<comments xmlns="http://schemas.openxmlformats.org/spreadsheetml/2006/main">
  <authors>
    <author>.</author>
  </authors>
  <commentList>
    <comment ref="H2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etat 4029- operations avec le groupe
</t>
        </r>
      </text>
    </comment>
    <comment ref="H3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etat 4029- operations avec le groupe
</t>
        </r>
      </text>
    </comment>
    <comment ref="J3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etat 4029- operations avec le groupe
</t>
        </r>
      </text>
    </comment>
    <comment ref="J2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etat 4029- operations avec le groupe
</t>
        </r>
      </text>
    </comment>
    <comment ref="E2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etat 4029- operations avec le groupe
</t>
        </r>
      </text>
    </comment>
    <comment ref="G27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etat 4029- operations avec le groupe
</t>
        </r>
      </text>
    </comment>
    <comment ref="E3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etat 4029- operations avec le groupe
</t>
        </r>
      </text>
    </comment>
    <comment ref="G30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etat 4029- operations avec le groupe
</t>
        </r>
      </text>
    </comment>
  </commentList>
</comments>
</file>

<file path=xl/comments6.xml><?xml version="1.0" encoding="utf-8"?>
<comments xmlns="http://schemas.openxmlformats.org/spreadsheetml/2006/main">
  <authors>
    <author>.</author>
  </authors>
  <commentList>
    <comment ref="A76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TABLEAU DE RESTRUCTURATION SOUS XLS EX SR 250 DE L'ANNEE
</t>
        </r>
      </text>
    </comment>
    <comment ref="C31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Y COMPRIS LE COMPTE UTILISATION EN EURO DE PRONY ENERGIE + NON RESIDENT
</t>
        </r>
      </text>
    </comment>
  </commentList>
</comments>
</file>

<file path=xl/comments7.xml><?xml version="1.0" encoding="utf-8"?>
<comments xmlns="http://schemas.openxmlformats.org/spreadsheetml/2006/main">
  <authors>
    <author>Administrateur</author>
  </authors>
  <commentList>
    <comment ref="C31" authorId="0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ne pas les répartir uniquement mettre dans total
</t>
        </r>
      </text>
    </comment>
  </commentList>
</comments>
</file>

<file path=xl/comments8.xml><?xml version="1.0" encoding="utf-8"?>
<comments xmlns="http://schemas.openxmlformats.org/spreadsheetml/2006/main">
  <authors>
    <author>.</author>
    <author>Administrateur</author>
  </authors>
  <commentList>
    <comment ref="A3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LIASSE L1R ETAT STP F020
</t>
        </r>
      </text>
    </comment>
    <comment ref="D17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ne pas les répartir uniquement mettre dans total
</t>
        </r>
      </text>
    </comment>
    <comment ref="D19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ne pas les répartir uniquement mettre dans total
</t>
        </r>
      </text>
    </comment>
    <comment ref="D21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ne pas les répartir uniquement mettre dans total
</t>
        </r>
      </text>
    </comment>
    <comment ref="D23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ne pas les répartir uniquement mettre dans total
</t>
        </r>
      </text>
    </comment>
    <comment ref="D29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ne pas les répartir uniquement mettre dans total
</t>
        </r>
      </text>
    </comment>
    <comment ref="D31" authorId="1">
      <text>
        <r>
          <rPr>
            <b/>
            <sz val="8"/>
            <rFont val="Tahoma"/>
            <family val="0"/>
          </rPr>
          <t>Administrateur:</t>
        </r>
        <r>
          <rPr>
            <sz val="8"/>
            <rFont val="Tahoma"/>
            <family val="0"/>
          </rPr>
          <t xml:space="preserve">
ne pas les répartir uniquement mettre dans total
</t>
        </r>
      </text>
    </comment>
  </commentList>
</comments>
</file>

<file path=xl/sharedStrings.xml><?xml version="1.0" encoding="utf-8"?>
<sst xmlns="http://schemas.openxmlformats.org/spreadsheetml/2006/main" count="315" uniqueCount="238">
  <si>
    <t>Montant brut</t>
  </si>
  <si>
    <t>Montant net</t>
  </si>
  <si>
    <t>Effets publics et valeurs assimilées</t>
  </si>
  <si>
    <t>Créances sur les établissements</t>
  </si>
  <si>
    <t>de Crédit</t>
  </si>
  <si>
    <t>- Comptes ordinaires</t>
  </si>
  <si>
    <t>- Opérations de pension</t>
  </si>
  <si>
    <t xml:space="preserve">  .Valeurs recues en pension</t>
  </si>
  <si>
    <t xml:space="preserve">   ou achetées ferme</t>
  </si>
  <si>
    <t xml:space="preserve">  .Créances commerciales</t>
  </si>
  <si>
    <t xml:space="preserve">  .Comptes débiteurs</t>
  </si>
  <si>
    <t xml:space="preserve">  .Autres crédits</t>
  </si>
  <si>
    <t>inférieure</t>
  </si>
  <si>
    <t>comprise</t>
  </si>
  <si>
    <t>supérieure</t>
  </si>
  <si>
    <t>TOTAL</t>
  </si>
  <si>
    <t>à 3 mois</t>
  </si>
  <si>
    <t>à 5 ans</t>
  </si>
  <si>
    <t xml:space="preserve"> - Effets publics et valeurs assimilées</t>
  </si>
  <si>
    <t xml:space="preserve"> - Créances sur les établissements de crédit</t>
  </si>
  <si>
    <t xml:space="preserve">  .Comptes ordinaires</t>
  </si>
  <si>
    <t xml:space="preserve"> </t>
  </si>
  <si>
    <t xml:space="preserve">  .Opérations de pension</t>
  </si>
  <si>
    <t>Autres</t>
  </si>
  <si>
    <t>Utilisations</t>
  </si>
  <si>
    <t>NET</t>
  </si>
  <si>
    <t>Echéance</t>
  </si>
  <si>
    <t>Total</t>
  </si>
  <si>
    <t>3 mois et 1 an</t>
  </si>
  <si>
    <t>1 an et 5 ans</t>
  </si>
  <si>
    <t xml:space="preserve"> Comptes créditeurs interbancaires</t>
  </si>
  <si>
    <t xml:space="preserve">   et assimilées</t>
  </si>
  <si>
    <t xml:space="preserve">   . Dettes envers les établissements</t>
  </si>
  <si>
    <t xml:space="preserve">     de crédit</t>
  </si>
  <si>
    <t xml:space="preserve">    - Comptes ordinaires</t>
  </si>
  <si>
    <t xml:space="preserve">    - Comptes et emprunts (1)</t>
  </si>
  <si>
    <t xml:space="preserve">    - Opérations de pension</t>
  </si>
  <si>
    <t xml:space="preserve">      .valeurs données en</t>
  </si>
  <si>
    <t xml:space="preserve">       pension ou vendues ferme</t>
  </si>
  <si>
    <t>inferieure à</t>
  </si>
  <si>
    <t>comprise entre</t>
  </si>
  <si>
    <t>superieure à</t>
  </si>
  <si>
    <t>3 mois</t>
  </si>
  <si>
    <t>5 ans</t>
  </si>
  <si>
    <t>COMPTES CREDITEURS</t>
  </si>
  <si>
    <t xml:space="preserve"> - Comptes ordinaires</t>
  </si>
  <si>
    <t xml:space="preserve"> -Comptes et emprunts</t>
  </si>
  <si>
    <t xml:space="preserve"> -Operations de pensions</t>
  </si>
  <si>
    <t xml:space="preserve"> - Bons de caisse</t>
  </si>
  <si>
    <t>Dotations</t>
  </si>
  <si>
    <t>Autres Reprises</t>
  </si>
  <si>
    <t>- PROVISIONS REGLEMENTEES</t>
  </si>
  <si>
    <t>FONDS POUR RISQUES BANCAIRES GENERAUX</t>
  </si>
  <si>
    <t>ACTIF</t>
  </si>
  <si>
    <t>NOTES</t>
  </si>
  <si>
    <t>OPERATIONS INTERBANCAIRES ET ASSIMILEES</t>
  </si>
  <si>
    <t xml:space="preserve">  .Comptes à vue</t>
  </si>
  <si>
    <t>OPERATIONS AVEC LA CLIENTELE</t>
  </si>
  <si>
    <t>OBLIGATIONS ET AUTRES TITRES A REVENU FIXE</t>
  </si>
  <si>
    <t>ACTIONS ET AUTRES TITRES A REVENU VARIABLE</t>
  </si>
  <si>
    <t>PARTICIPATIONS ET AUTRES TITRES DETENUS A LONG TERME</t>
  </si>
  <si>
    <t>PARTS DANS LES ENTREPRISES LIEES</t>
  </si>
  <si>
    <t xml:space="preserve">IMMOBILISATIONS INCORPORELLES </t>
  </si>
  <si>
    <t>IMMOBILISATIONS  CORPORELLES</t>
  </si>
  <si>
    <t xml:space="preserve"> AUTRES ACTIFS</t>
  </si>
  <si>
    <t xml:space="preserve">COMPTES DE REGULARISATION </t>
  </si>
  <si>
    <t>TOTAL DE L'ACTIF</t>
  </si>
  <si>
    <t>HORS BILAN</t>
  </si>
  <si>
    <t>Engagements de financement donnés</t>
  </si>
  <si>
    <t>Engagements de garantie donnés</t>
  </si>
  <si>
    <t>PASSIF</t>
  </si>
  <si>
    <t xml:space="preserve"> - Dettes envers les établissements de crédit</t>
  </si>
  <si>
    <t xml:space="preserve">  .Comptes et emprunts à terme</t>
  </si>
  <si>
    <t>COMPTES CREDITEURS DE LA CLIENTELE</t>
  </si>
  <si>
    <t xml:space="preserve">  .Comptes à terme</t>
  </si>
  <si>
    <t xml:space="preserve">  .Comptes d épargne à régime spécial</t>
  </si>
  <si>
    <t>DETTES REPRESENTEES PAR UN TITRE</t>
  </si>
  <si>
    <t xml:space="preserve"> - Autres Dettes Représentées par un titre</t>
  </si>
  <si>
    <t xml:space="preserve"> AUTRES PASSIFS</t>
  </si>
  <si>
    <t>CAPITAUX PROPRES HORS FRBG</t>
  </si>
  <si>
    <t xml:space="preserve">  .Capital souscrit</t>
  </si>
  <si>
    <t xml:space="preserve">  .Réserves</t>
  </si>
  <si>
    <t xml:space="preserve">  .Provisions réglementées et subventions d'investissement</t>
  </si>
  <si>
    <t xml:space="preserve">  .Report a nouveau</t>
  </si>
  <si>
    <t xml:space="preserve">  .Résultat de l'exercice</t>
  </si>
  <si>
    <t>TOTAL DU PASSIF</t>
  </si>
  <si>
    <t>Engagements de financement reçus</t>
  </si>
  <si>
    <t>Engagements de garantie reçus</t>
  </si>
  <si>
    <t>Note</t>
  </si>
  <si>
    <t>PRODUITS (CHARGES) D'EXPLOITATION BANCAIRE</t>
  </si>
  <si>
    <t>Intérêts et produits (charges) assimilés</t>
  </si>
  <si>
    <t>. Opérations avec les établissements de crédit</t>
  </si>
  <si>
    <t>. Opérations avec la clientèle</t>
  </si>
  <si>
    <t>. Opérations de crédit-bail et assimilés</t>
  </si>
  <si>
    <t>. Intérêts et charges assimilés sur dettes représentées par un titre</t>
  </si>
  <si>
    <t>. Intérêts et produits assimilés sur obligations et autres titres à</t>
  </si>
  <si>
    <t>revenu fixe</t>
  </si>
  <si>
    <t xml:space="preserve">Commissions : produits </t>
  </si>
  <si>
    <t>Commissions : charges</t>
  </si>
  <si>
    <t>. titres de transaction</t>
  </si>
  <si>
    <t>. opérations de change</t>
  </si>
  <si>
    <t>. instruments financiers</t>
  </si>
  <si>
    <t>Gains (pertes) sur opérations des portefeuilles de placement et assimilés</t>
  </si>
  <si>
    <t>. titres de placement</t>
  </si>
  <si>
    <t>. titres de l'activité de portefeuille</t>
  </si>
  <si>
    <t>AUTRES PRODUITS D'EXPLOITATION BANCAIRE ET ASSIMILES</t>
  </si>
  <si>
    <t>AUTRES  CHARGES D'EXPLOITATION BANCAIRE ET ASSIMILES</t>
  </si>
  <si>
    <t>PRODUIT NET BANCAIRE</t>
  </si>
  <si>
    <t>Charges générales d'exploitation</t>
  </si>
  <si>
    <t>. Autres frais administratifs</t>
  </si>
  <si>
    <t>RESULTAT BRUT D'EXPLOITATION</t>
  </si>
  <si>
    <t>Coût du Risque</t>
  </si>
  <si>
    <t>RESULTAT NET</t>
  </si>
  <si>
    <t>Com. et div.</t>
  </si>
  <si>
    <t>produits</t>
  </si>
  <si>
    <t>total</t>
  </si>
  <si>
    <t>(charges)</t>
  </si>
  <si>
    <t>OPERATIONS AVEC LES ETABLISSEMENTS DE CREDIT</t>
  </si>
  <si>
    <t>18</t>
  </si>
  <si>
    <t>19</t>
  </si>
  <si>
    <t>INTERETS ET PRODUITS ASSIMILES SUR OBLIGATIONS</t>
  </si>
  <si>
    <t>ET AURES TITRES A REVENU FIXE</t>
  </si>
  <si>
    <t>REVENUS DES TITRES A REVENU VARIABLE</t>
  </si>
  <si>
    <t>20</t>
  </si>
  <si>
    <t>TOTAL DES PRODUITS (CHARGES) D'EXPLOIT.BANCAIRE</t>
  </si>
  <si>
    <t>AUTRES PRODUITS (CHARGES) D'EXPLOIT. BANCAIRE</t>
  </si>
  <si>
    <t>.Dividendes et produits assimilés</t>
  </si>
  <si>
    <t>Intérêts et</t>
  </si>
  <si>
    <t>(1) Les comptes et emprunts enregistrent les opérations effectuées au jour le jour ou à terme, et ne faisant l'objet d'aucun échange de support sous forme d'effet ou de titre.</t>
  </si>
  <si>
    <t>Sociétés</t>
  </si>
  <si>
    <t>Entrepreneurs Individuels</t>
  </si>
  <si>
    <t>Particuliers</t>
  </si>
  <si>
    <t xml:space="preserve">Total  des crédits restructurés </t>
  </si>
  <si>
    <t>?</t>
  </si>
  <si>
    <t>Gains (pertes) sur opérations des portefeuilles de négociation</t>
  </si>
  <si>
    <t>Dépréciations</t>
  </si>
  <si>
    <t xml:space="preserve">   .primes d'émission</t>
  </si>
  <si>
    <t>.dt intérêts courus</t>
  </si>
  <si>
    <t>- Comptes et prêts</t>
  </si>
  <si>
    <t xml:space="preserve">       .dt intérêts courus</t>
  </si>
  <si>
    <t xml:space="preserve">  .Restructurés</t>
  </si>
  <si>
    <t>douteux</t>
  </si>
  <si>
    <t>douteux compromis</t>
  </si>
  <si>
    <t>En milliers d'euros</t>
  </si>
  <si>
    <t xml:space="preserve">TOTAL </t>
  </si>
  <si>
    <t>Échéance</t>
  </si>
  <si>
    <t>-Autres sommes dues</t>
  </si>
  <si>
    <t>dt intérêts courus</t>
  </si>
  <si>
    <t xml:space="preserve"> DETTES REPRESENTES PAR UN TITRE</t>
  </si>
  <si>
    <t>-Provision pour risques d'exécution des engagements de signatures</t>
  </si>
  <si>
    <t>- TOTAL</t>
  </si>
  <si>
    <t>- Provision pour primes de médailles</t>
  </si>
  <si>
    <t>-Provision PEL CEL</t>
  </si>
  <si>
    <t>-Provision pour risques non affectés</t>
  </si>
  <si>
    <t xml:space="preserve">- Provision pour risques divers </t>
  </si>
  <si>
    <t>-Autres provisions</t>
  </si>
  <si>
    <t>Autres variations</t>
  </si>
  <si>
    <t xml:space="preserve">   CAPITAL</t>
  </si>
  <si>
    <t xml:space="preserve">   PRIMES LIES AU CAPITAL</t>
  </si>
  <si>
    <t xml:space="preserve">      -  prime d'émission</t>
  </si>
  <si>
    <t xml:space="preserve">      -  prime de fusion</t>
  </si>
  <si>
    <t xml:space="preserve">   RESERVES</t>
  </si>
  <si>
    <t xml:space="preserve">      -  légale</t>
  </si>
  <si>
    <t xml:space="preserve">      -  réglementées (PVLT + réévaluation)</t>
  </si>
  <si>
    <t xml:space="preserve">      -  libres </t>
  </si>
  <si>
    <t xml:space="preserve">   F.R.B.G.</t>
  </si>
  <si>
    <t xml:space="preserve">   REPORT A NOUVEAU</t>
  </si>
  <si>
    <t xml:space="preserve">   DISTRIBUTION DIVIDENDE </t>
  </si>
  <si>
    <t xml:space="preserve">   RESULTAT</t>
  </si>
  <si>
    <t>Bons de caisse</t>
  </si>
  <si>
    <t>GAINS (PERTES) SUR OPERATIONS DES PORTEFEUILLES</t>
  </si>
  <si>
    <t>DE NEGOCIATION</t>
  </si>
  <si>
    <t>DE PLACEMENT ET ASSIMILES</t>
  </si>
  <si>
    <t xml:space="preserve"> -Portefeuille-titres de placement</t>
  </si>
  <si>
    <t>-Instruments fianciers</t>
  </si>
  <si>
    <t>Produits des opérations sur contrats de taux</t>
  </si>
  <si>
    <t>Charges des opérations sur contrats de taux</t>
  </si>
  <si>
    <t>d'intérêt à terme fermes et conditionnels</t>
  </si>
  <si>
    <t>CHARGES SUR DETTES REPRESENTEES PAR UN TITRE</t>
  </si>
  <si>
    <t>Titres de créances négociables</t>
  </si>
  <si>
    <t>Titres du marché interbancaire</t>
  </si>
  <si>
    <t>CHARGES</t>
  </si>
  <si>
    <t>PRODUITS</t>
  </si>
  <si>
    <t>RESULTAT D'EXPLOITATION</t>
  </si>
  <si>
    <t>RESULTAT COURANT AVANT IMPOT</t>
  </si>
  <si>
    <t>Impôts sur les bénéfices</t>
  </si>
  <si>
    <t>Dotations /reprises de FRBG et provisions réglementées</t>
  </si>
  <si>
    <t>.dt créances sur entreprises liées</t>
  </si>
  <si>
    <t xml:space="preserve">  .Comptes et prêts </t>
  </si>
  <si>
    <t>. Opération de pensions</t>
  </si>
  <si>
    <t xml:space="preserve">  .Comptes débiteurs </t>
  </si>
  <si>
    <t>En milliers d'euros au 31 décembre</t>
  </si>
  <si>
    <t xml:space="preserve"> - Créances saines  sur la clientèle</t>
  </si>
  <si>
    <t>-Créances douteuses et douteuses-compromises</t>
  </si>
  <si>
    <t xml:space="preserve">  .Autres sommes dues</t>
  </si>
  <si>
    <t>DETTES SUBORDONNEES</t>
  </si>
  <si>
    <t>Revenus des titres à revenu variable</t>
  </si>
  <si>
    <t xml:space="preserve">dt autres sommes dues </t>
  </si>
  <si>
    <t>-Provision pour amortissements SOFICA</t>
  </si>
  <si>
    <t>-Provision pour Investissement</t>
  </si>
  <si>
    <t xml:space="preserve">   </t>
  </si>
  <si>
    <t xml:space="preserve"> - Autres Dettes représentées par un titre</t>
  </si>
  <si>
    <t>- Provision pour indemnités de départ en retraite</t>
  </si>
  <si>
    <t xml:space="preserve"> -Comptes d'épargne à régime spécial</t>
  </si>
  <si>
    <t>31.12.2007</t>
  </si>
  <si>
    <t xml:space="preserve"> - Caisse,Banques Centrales</t>
  </si>
  <si>
    <t xml:space="preserve"> - Banques Centrales</t>
  </si>
  <si>
    <t>Caisse,Banques Centrales</t>
  </si>
  <si>
    <t xml:space="preserve">   . Banques centrales</t>
  </si>
  <si>
    <t>PROVISIONS</t>
  </si>
  <si>
    <t>Dot. aux amort. et aux dépréciations s/immob.incorporelles et corporelles</t>
  </si>
  <si>
    <t>- PROVISIONS</t>
  </si>
  <si>
    <t>30.06.2008</t>
  </si>
  <si>
    <t>Affectation résultat 2007</t>
  </si>
  <si>
    <t>Résultat Exercice Juin 2008</t>
  </si>
  <si>
    <t>- Douteux et Douteux compromis (1)</t>
  </si>
  <si>
    <t xml:space="preserve">- Crédits  sains </t>
  </si>
  <si>
    <t>En milliers d'euros au 30 Juin 2008</t>
  </si>
  <si>
    <t>En milliers d'euros au 30 Juin</t>
  </si>
  <si>
    <t xml:space="preserve">            En milliers d'euros au 30 Juin</t>
  </si>
  <si>
    <t>Début  2008</t>
  </si>
  <si>
    <t>COMPTE DE RESULTAT SOCIAL AU 30 JUIN 2008
 (en milliers d'euros)</t>
  </si>
  <si>
    <t xml:space="preserve">En milliers d'euros </t>
  </si>
  <si>
    <t xml:space="preserve">. Frais de personnel </t>
  </si>
  <si>
    <t xml:space="preserve"> gains et pertes sur actif immobilisés </t>
  </si>
  <si>
    <t xml:space="preserve">Résultat exceptionnel </t>
  </si>
  <si>
    <t>BANQUE  DE BRETAGNE</t>
  </si>
  <si>
    <t>COMPTES SEMESTRIELS CONDENSES</t>
  </si>
  <si>
    <t>Arrêté au :</t>
  </si>
  <si>
    <t>(1) Dont  4 506 KE d'actualisation provision clientèle (CRC 2002-03) au 30/06/08</t>
  </si>
  <si>
    <t>NOTE N° 2 - OPERATIONS INTERBANCAIRES ET ASSIMILEES</t>
  </si>
  <si>
    <t>NOTE N° 3 - OPERATIONS AVEC LA CLIENTELE</t>
  </si>
  <si>
    <t>NOTE N° 4 - REPARTITION DES DETTES INTERBANCAIRES PAR DUREES RESIDUELLES</t>
  </si>
  <si>
    <t>NOTE N ° 5 - REPARTITION DES DETTES SUR LA CLIENTELE,BONS DE CAISSE ET CREANCES NEGOCIABLES PAR DUREES RESIDUELLES</t>
  </si>
  <si>
    <t>NOTE N° 6 - PROVISIONS</t>
  </si>
  <si>
    <t>NOTE N° 7 - AFFECTATION DU RESULTAT ET VARIATION DES FONDS PROPRES</t>
  </si>
  <si>
    <t>NOTE N° 8 -  PRODUIT NET BANCAIRE</t>
  </si>
  <si>
    <t>PRODUIT NET BANCAIRE (note 8)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</si>
</sst>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\ ?/?"/>
    <numFmt numFmtId="173" formatCode="#\ ??/??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\ ###\ ###.\-\ #\ ###\ ###"/>
    <numFmt numFmtId="179" formatCode="#\ ###\ ###\ #\ ###\ ###"/>
    <numFmt numFmtId="180" formatCode="#\ ###"/>
    <numFmt numFmtId="181" formatCode="#\ ###\ ###"/>
    <numFmt numFmtId="182" formatCode="0.000"/>
    <numFmt numFmtId="183" formatCode="###\ ##0"/>
    <numFmt numFmtId="184" formatCode="#\ ###\ ##0.\-#\ ###\ ##0"/>
    <numFmt numFmtId="185" formatCode="#\ ###\ ###.\-#\ ###\ ###"/>
    <numFmt numFmtId="186" formatCode="#,##0;\(\-#,##0\)"/>
    <numFmt numFmtId="187" formatCode="#,##0;\(#,##0\)"/>
    <numFmt numFmtId="188" formatCode="#\ ###;\(#\ ###\)"/>
    <numFmt numFmtId="189" formatCode="#\ ###\ ###\ \ \ \ \ \ \ \ \ \ \ \ \ \ \ \ \ \ \ "/>
    <numFmt numFmtId="190" formatCode="#.0\ ###\ ###"/>
    <numFmt numFmtId="191" formatCode="#.00\ ###\ ###"/>
    <numFmt numFmtId="192" formatCode="0.0%"/>
    <numFmt numFmtId="193" formatCode="_-* #,##0.000\ _F_-;\-* #,##0.000\ _F_-;_-* &quot;-&quot;??\ _F_-;_-@_-"/>
    <numFmt numFmtId="194" formatCode="_-* #,##0.0\ _F_-;\-* #,##0.0\ _F_-;_-* &quot;-&quot;??\ _F_-;_-@_-"/>
    <numFmt numFmtId="195" formatCode="_-* #,##0.0000\ _F_-;\-* #,##0.0000\ _F_-;_-* &quot;-&quot;??\ _F_-;_-@_-"/>
    <numFmt numFmtId="196" formatCode="0.00&quot; &quot;%"/>
    <numFmt numFmtId="197" formatCode="#.000\ ###\ ###"/>
    <numFmt numFmtId="198" formatCode="#.\ ###\ ###"/>
    <numFmt numFmtId="199" formatCode="#.###\ ###"/>
    <numFmt numFmtId="200" formatCode="#.##\ ###"/>
    <numFmt numFmtId="201" formatCode="#.#\ ###"/>
    <numFmt numFmtId="202" formatCode="#.\ ###"/>
    <numFmt numFmtId="203" formatCode="#.###"/>
    <numFmt numFmtId="204" formatCode="0.0000000"/>
    <numFmt numFmtId="205" formatCode="0.000000"/>
    <numFmt numFmtId="206" formatCode="0.00000"/>
    <numFmt numFmtId="207" formatCode="0.0000"/>
    <numFmt numFmtId="208" formatCode="0.0"/>
    <numFmt numFmtId="209" formatCode="_-* #,##0\ _F_-;\-* #,##0\ _F_-;_-* &quot;-&quot;??\ _F_-;_-@_-"/>
    <numFmt numFmtId="210" formatCode="\-\ #,##0"/>
    <numFmt numFmtId="211" formatCode="\(#,##0\)"/>
    <numFmt numFmtId="212" formatCode="\(#,###\)"/>
    <numFmt numFmtId="213" formatCode="###0;\(#,##0\)"/>
    <numFmt numFmtId="214" formatCode="#,##0\ _F"/>
    <numFmt numFmtId="215" formatCode="\ #,##0"/>
    <numFmt numFmtId="216" formatCode="#,##0.0"/>
    <numFmt numFmtId="217" formatCode="[$-40C]dddd\ d\ mmmm\ yyyy"/>
    <numFmt numFmtId="218" formatCode="[$-40C]d\ mmmm\ yyyy;@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MS Sans Serif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0"/>
    </font>
    <font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Helv"/>
      <family val="0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9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sz val="9"/>
      <color indexed="56"/>
      <name val="Times New Roman"/>
      <family val="1"/>
    </font>
    <font>
      <b/>
      <i/>
      <sz val="20"/>
      <name val="Arial"/>
      <family val="2"/>
    </font>
    <font>
      <b/>
      <sz val="20"/>
      <name val="Times New Roman"/>
      <family val="1"/>
    </font>
    <font>
      <b/>
      <sz val="20"/>
      <color indexed="9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674">
    <xf numFmtId="0" fontId="0" fillId="0" borderId="0" xfId="0" applyAlignment="1">
      <alignment/>
    </xf>
    <xf numFmtId="0" fontId="4" fillId="0" borderId="0" xfId="25">
      <alignment/>
      <protection/>
    </xf>
    <xf numFmtId="0" fontId="5" fillId="0" borderId="0" xfId="25" applyFont="1">
      <alignment/>
      <protection/>
    </xf>
    <xf numFmtId="0" fontId="6" fillId="0" borderId="0" xfId="25" applyFont="1">
      <alignment/>
      <protection/>
    </xf>
    <xf numFmtId="175" fontId="5" fillId="0" borderId="1" xfId="19" applyFont="1" applyBorder="1" applyAlignment="1">
      <alignment/>
    </xf>
    <xf numFmtId="175" fontId="6" fillId="0" borderId="1" xfId="19" applyFont="1" applyBorder="1" applyAlignment="1">
      <alignment/>
    </xf>
    <xf numFmtId="0" fontId="6" fillId="0" borderId="2" xfId="25" applyFont="1" applyBorder="1">
      <alignment/>
      <protection/>
    </xf>
    <xf numFmtId="0" fontId="6" fillId="0" borderId="0" xfId="25" applyFont="1" applyBorder="1">
      <alignment/>
      <protection/>
    </xf>
    <xf numFmtId="0" fontId="6" fillId="0" borderId="3" xfId="25" applyFont="1" applyBorder="1">
      <alignment/>
      <protection/>
    </xf>
    <xf numFmtId="0" fontId="6" fillId="0" borderId="2" xfId="25" applyFont="1" applyBorder="1" applyAlignment="1" quotePrefix="1">
      <alignment horizontal="left"/>
      <protection/>
    </xf>
    <xf numFmtId="0" fontId="6" fillId="0" borderId="0" xfId="25" applyFont="1" applyBorder="1" applyAlignment="1" quotePrefix="1">
      <alignment horizontal="left"/>
      <protection/>
    </xf>
    <xf numFmtId="0" fontId="6" fillId="0" borderId="2" xfId="25" applyFont="1" applyBorder="1" applyAlignment="1">
      <alignment horizontal="left"/>
      <protection/>
    </xf>
    <xf numFmtId="0" fontId="6" fillId="0" borderId="0" xfId="25" applyFont="1" applyBorder="1" applyAlignment="1">
      <alignment horizontal="left"/>
      <protection/>
    </xf>
    <xf numFmtId="0" fontId="5" fillId="0" borderId="2" xfId="25" applyFont="1" applyBorder="1">
      <alignment/>
      <protection/>
    </xf>
    <xf numFmtId="0" fontId="6" fillId="0" borderId="3" xfId="25" applyFont="1" applyBorder="1" applyAlignment="1">
      <alignment horizontal="center"/>
      <protection/>
    </xf>
    <xf numFmtId="0" fontId="5" fillId="0" borderId="0" xfId="25" applyFont="1" applyBorder="1" applyAlignment="1" quotePrefix="1">
      <alignment horizontal="left"/>
      <protection/>
    </xf>
    <xf numFmtId="0" fontId="5" fillId="0" borderId="0" xfId="25" applyFont="1" applyBorder="1" applyAlignment="1">
      <alignment/>
      <protection/>
    </xf>
    <xf numFmtId="0" fontId="5" fillId="0" borderId="3" xfId="25" applyFont="1" applyBorder="1" applyAlignment="1">
      <alignment/>
      <protection/>
    </xf>
    <xf numFmtId="0" fontId="5" fillId="0" borderId="0" xfId="25" applyFont="1" applyBorder="1">
      <alignment/>
      <protection/>
    </xf>
    <xf numFmtId="0" fontId="5" fillId="0" borderId="3" xfId="25" applyFont="1" applyBorder="1">
      <alignment/>
      <protection/>
    </xf>
    <xf numFmtId="0" fontId="6" fillId="0" borderId="4" xfId="25" applyFont="1" applyBorder="1">
      <alignment/>
      <protection/>
    </xf>
    <xf numFmtId="0" fontId="6" fillId="0" borderId="5" xfId="25" applyFont="1" applyBorder="1">
      <alignment/>
      <protection/>
    </xf>
    <xf numFmtId="0" fontId="6" fillId="0" borderId="6" xfId="25" applyFont="1" applyBorder="1">
      <alignment/>
      <protection/>
    </xf>
    <xf numFmtId="179" fontId="5" fillId="0" borderId="6" xfId="19" applyNumberFormat="1" applyFont="1" applyBorder="1" applyAlignment="1">
      <alignment/>
    </xf>
    <xf numFmtId="179" fontId="6" fillId="0" borderId="6" xfId="19" applyNumberFormat="1" applyFont="1" applyBorder="1" applyAlignment="1">
      <alignment/>
    </xf>
    <xf numFmtId="0" fontId="6" fillId="0" borderId="0" xfId="25" applyFont="1" applyAlignment="1" quotePrefix="1">
      <alignment horizontal="left"/>
      <protection/>
    </xf>
    <xf numFmtId="0" fontId="8" fillId="0" borderId="0" xfId="25" applyFont="1">
      <alignment/>
      <protection/>
    </xf>
    <xf numFmtId="0" fontId="5" fillId="0" borderId="0" xfId="26" applyFont="1">
      <alignment/>
      <protection/>
    </xf>
    <xf numFmtId="0" fontId="6" fillId="0" borderId="0" xfId="26" applyFont="1">
      <alignment/>
      <protection/>
    </xf>
    <xf numFmtId="0" fontId="4" fillId="0" borderId="0" xfId="26">
      <alignment/>
      <protection/>
    </xf>
    <xf numFmtId="0" fontId="5" fillId="0" borderId="1" xfId="26" applyFont="1" applyBorder="1" applyProtection="1">
      <alignment/>
      <protection locked="0"/>
    </xf>
    <xf numFmtId="0" fontId="6" fillId="0" borderId="1" xfId="26" applyFont="1" applyBorder="1">
      <alignment/>
      <protection/>
    </xf>
    <xf numFmtId="0" fontId="6" fillId="0" borderId="2" xfId="26" applyFont="1" applyBorder="1" applyAlignment="1" quotePrefix="1">
      <alignment horizontal="left"/>
      <protection/>
    </xf>
    <xf numFmtId="0" fontId="6" fillId="0" borderId="0" xfId="26" applyFont="1" applyBorder="1">
      <alignment/>
      <protection/>
    </xf>
    <xf numFmtId="0" fontId="6" fillId="0" borderId="3" xfId="26" applyFont="1" applyBorder="1">
      <alignment/>
      <protection/>
    </xf>
    <xf numFmtId="3" fontId="5" fillId="0" borderId="1" xfId="26" applyNumberFormat="1" applyFont="1" applyBorder="1" applyProtection="1">
      <alignment/>
      <protection locked="0"/>
    </xf>
    <xf numFmtId="3" fontId="6" fillId="0" borderId="1" xfId="26" applyNumberFormat="1" applyFont="1" applyBorder="1">
      <alignment/>
      <protection/>
    </xf>
    <xf numFmtId="0" fontId="6" fillId="0" borderId="2" xfId="26" applyFont="1" applyBorder="1">
      <alignment/>
      <protection/>
    </xf>
    <xf numFmtId="0" fontId="6" fillId="0" borderId="0" xfId="26" applyFont="1" applyBorder="1" applyAlignment="1" quotePrefix="1">
      <alignment horizontal="left"/>
      <protection/>
    </xf>
    <xf numFmtId="181" fontId="6" fillId="0" borderId="0" xfId="26" applyNumberFormat="1" applyFont="1">
      <alignment/>
      <protection/>
    </xf>
    <xf numFmtId="0" fontId="6" fillId="0" borderId="2" xfId="26" applyFont="1" applyBorder="1" applyAlignment="1">
      <alignment horizontal="left"/>
      <protection/>
    </xf>
    <xf numFmtId="0" fontId="5" fillId="0" borderId="0" xfId="26" applyFont="1" applyBorder="1" applyAlignment="1" quotePrefix="1">
      <alignment horizontal="left"/>
      <protection/>
    </xf>
    <xf numFmtId="0" fontId="5" fillId="0" borderId="0" xfId="26" applyFont="1" applyBorder="1" applyAlignment="1">
      <alignment/>
      <protection/>
    </xf>
    <xf numFmtId="0" fontId="5" fillId="0" borderId="3" xfId="26" applyFont="1" applyBorder="1" applyAlignment="1">
      <alignment/>
      <protection/>
    </xf>
    <xf numFmtId="0" fontId="6" fillId="0" borderId="3" xfId="26" applyFont="1" applyBorder="1" applyAlignment="1">
      <alignment/>
      <protection/>
    </xf>
    <xf numFmtId="181" fontId="5" fillId="0" borderId="0" xfId="26" applyNumberFormat="1" applyFont="1">
      <alignment/>
      <protection/>
    </xf>
    <xf numFmtId="0" fontId="6" fillId="0" borderId="4" xfId="26" applyFont="1" applyBorder="1">
      <alignment/>
      <protection/>
    </xf>
    <xf numFmtId="0" fontId="6" fillId="0" borderId="5" xfId="26" applyFont="1" applyBorder="1">
      <alignment/>
      <protection/>
    </xf>
    <xf numFmtId="0" fontId="6" fillId="0" borderId="6" xfId="26" applyFont="1" applyBorder="1">
      <alignment/>
      <protection/>
    </xf>
    <xf numFmtId="0" fontId="6" fillId="0" borderId="0" xfId="26" applyFont="1" applyAlignment="1" quotePrefix="1">
      <alignment horizontal="left"/>
      <protection/>
    </xf>
    <xf numFmtId="181" fontId="6" fillId="0" borderId="0" xfId="26" applyNumberFormat="1" applyFont="1" applyAlignment="1">
      <alignment horizontal="center"/>
      <protection/>
    </xf>
    <xf numFmtId="181" fontId="6" fillId="0" borderId="0" xfId="27" applyNumberFormat="1" applyFont="1" applyBorder="1">
      <alignment/>
      <protection/>
    </xf>
    <xf numFmtId="181" fontId="6" fillId="0" borderId="0" xfId="27" applyNumberFormat="1" applyFont="1" applyBorder="1" applyAlignment="1">
      <alignment/>
      <protection/>
    </xf>
    <xf numFmtId="181" fontId="5" fillId="0" borderId="0" xfId="27" applyNumberFormat="1" applyFont="1" applyBorder="1" applyAlignment="1">
      <alignment/>
      <protection/>
    </xf>
    <xf numFmtId="181" fontId="5" fillId="0" borderId="0" xfId="27" applyNumberFormat="1" applyFont="1" applyBorder="1" applyAlignment="1">
      <alignment horizontal="left"/>
      <protection/>
    </xf>
    <xf numFmtId="3" fontId="4" fillId="0" borderId="0" xfId="26" applyNumberFormat="1">
      <alignment/>
      <protection/>
    </xf>
    <xf numFmtId="0" fontId="9" fillId="0" borderId="0" xfId="28" applyFont="1">
      <alignment/>
      <protection/>
    </xf>
    <xf numFmtId="0" fontId="9" fillId="0" borderId="0" xfId="28" applyFont="1" applyBorder="1">
      <alignment/>
      <protection/>
    </xf>
    <xf numFmtId="180" fontId="9" fillId="0" borderId="1" xfId="28" applyNumberFormat="1" applyFont="1" applyBorder="1">
      <alignment/>
      <protection/>
    </xf>
    <xf numFmtId="180" fontId="10" fillId="0" borderId="1" xfId="28" applyNumberFormat="1" applyFont="1" applyBorder="1">
      <alignment/>
      <protection/>
    </xf>
    <xf numFmtId="0" fontId="10" fillId="0" borderId="2" xfId="28" applyFont="1" applyBorder="1" applyAlignment="1" quotePrefix="1">
      <alignment horizontal="left"/>
      <protection/>
    </xf>
    <xf numFmtId="0" fontId="10" fillId="0" borderId="0" xfId="28" applyFont="1" applyBorder="1">
      <alignment/>
      <protection/>
    </xf>
    <xf numFmtId="0" fontId="10" fillId="0" borderId="3" xfId="28" applyFont="1" applyBorder="1">
      <alignment/>
      <protection/>
    </xf>
    <xf numFmtId="0" fontId="10" fillId="0" borderId="2" xfId="28" applyFont="1" applyBorder="1">
      <alignment/>
      <protection/>
    </xf>
    <xf numFmtId="0" fontId="11" fillId="0" borderId="3" xfId="28" applyFont="1" applyBorder="1">
      <alignment/>
      <protection/>
    </xf>
    <xf numFmtId="0" fontId="10" fillId="0" borderId="0" xfId="28" applyFont="1" applyBorder="1" applyAlignment="1" quotePrefix="1">
      <alignment horizontal="left"/>
      <protection/>
    </xf>
    <xf numFmtId="180" fontId="10" fillId="0" borderId="1" xfId="28" applyNumberFormat="1" applyFont="1" applyBorder="1" applyAlignment="1" quotePrefix="1">
      <alignment horizontal="left"/>
      <protection/>
    </xf>
    <xf numFmtId="180" fontId="9" fillId="0" borderId="1" xfId="28" applyNumberFormat="1" applyFont="1" applyBorder="1" applyAlignment="1" quotePrefix="1">
      <alignment horizontal="right"/>
      <protection/>
    </xf>
    <xf numFmtId="0" fontId="10" fillId="0" borderId="2" xfId="28" applyFont="1" applyBorder="1" applyAlignment="1">
      <alignment horizontal="left"/>
      <protection/>
    </xf>
    <xf numFmtId="0" fontId="10" fillId="0" borderId="0" xfId="28" applyFont="1" applyBorder="1" applyAlignment="1">
      <alignment/>
      <protection/>
    </xf>
    <xf numFmtId="0" fontId="10" fillId="0" borderId="3" xfId="28" applyFont="1" applyBorder="1" applyAlignment="1">
      <alignment/>
      <protection/>
    </xf>
    <xf numFmtId="180" fontId="9" fillId="0" borderId="0" xfId="28" applyNumberFormat="1" applyFont="1">
      <alignment/>
      <protection/>
    </xf>
    <xf numFmtId="0" fontId="10" fillId="0" borderId="0" xfId="28" applyFont="1" applyBorder="1" applyAlignment="1">
      <alignment horizontal="left"/>
      <protection/>
    </xf>
    <xf numFmtId="0" fontId="10" fillId="0" borderId="3" xfId="28" applyFont="1" applyBorder="1" applyAlignment="1">
      <alignment horizontal="center"/>
      <protection/>
    </xf>
    <xf numFmtId="0" fontId="10" fillId="0" borderId="0" xfId="28" applyFont="1" applyBorder="1" applyAlignment="1">
      <alignment horizontal="center"/>
      <protection/>
    </xf>
    <xf numFmtId="0" fontId="9" fillId="0" borderId="2" xfId="28" applyFont="1" applyBorder="1">
      <alignment/>
      <protection/>
    </xf>
    <xf numFmtId="180" fontId="9" fillId="0" borderId="1" xfId="28" applyNumberFormat="1" applyFont="1" applyBorder="1">
      <alignment/>
      <protection/>
    </xf>
    <xf numFmtId="180" fontId="9" fillId="0" borderId="0" xfId="28" applyNumberFormat="1" applyFont="1" applyBorder="1">
      <alignment/>
      <protection/>
    </xf>
    <xf numFmtId="180" fontId="10" fillId="0" borderId="0" xfId="28" applyNumberFormat="1" applyFont="1" applyBorder="1">
      <alignment/>
      <protection/>
    </xf>
    <xf numFmtId="0" fontId="5" fillId="0" borderId="0" xfId="28" applyFont="1" applyBorder="1">
      <alignment/>
      <protection/>
    </xf>
    <xf numFmtId="0" fontId="9" fillId="0" borderId="0" xfId="29" applyFont="1" applyBorder="1">
      <alignment/>
      <protection/>
    </xf>
    <xf numFmtId="0" fontId="9" fillId="0" borderId="0" xfId="29" applyFont="1">
      <alignment/>
      <protection/>
    </xf>
    <xf numFmtId="0" fontId="5" fillId="0" borderId="0" xfId="29" applyFont="1" applyBorder="1">
      <alignment/>
      <protection/>
    </xf>
    <xf numFmtId="0" fontId="9" fillId="0" borderId="1" xfId="29" applyFont="1" applyBorder="1">
      <alignment/>
      <protection/>
    </xf>
    <xf numFmtId="0" fontId="10" fillId="0" borderId="1" xfId="29" applyFont="1" applyBorder="1">
      <alignment/>
      <protection/>
    </xf>
    <xf numFmtId="0" fontId="9" fillId="0" borderId="2" xfId="29" applyFont="1" applyBorder="1">
      <alignment/>
      <protection/>
    </xf>
    <xf numFmtId="0" fontId="9" fillId="0" borderId="3" xfId="29" applyFont="1" applyBorder="1">
      <alignment/>
      <protection/>
    </xf>
    <xf numFmtId="3" fontId="9" fillId="0" borderId="1" xfId="29" applyNumberFormat="1" applyFont="1" applyBorder="1">
      <alignment/>
      <protection/>
    </xf>
    <xf numFmtId="3" fontId="10" fillId="0" borderId="1" xfId="29" applyNumberFormat="1" applyFont="1" applyBorder="1">
      <alignment/>
      <protection/>
    </xf>
    <xf numFmtId="3" fontId="13" fillId="0" borderId="1" xfId="29" applyNumberFormat="1" applyFont="1" applyBorder="1">
      <alignment/>
      <protection/>
    </xf>
    <xf numFmtId="3" fontId="14" fillId="0" borderId="1" xfId="29" applyNumberFormat="1" applyFont="1" applyBorder="1">
      <alignment/>
      <protection/>
    </xf>
    <xf numFmtId="0" fontId="13" fillId="0" borderId="0" xfId="29" applyFont="1" applyBorder="1">
      <alignment/>
      <protection/>
    </xf>
    <xf numFmtId="0" fontId="9" fillId="0" borderId="0" xfId="29" applyFont="1" applyAlignment="1">
      <alignment horizontal="left"/>
      <protection/>
    </xf>
    <xf numFmtId="0" fontId="9" fillId="0" borderId="0" xfId="30" applyFont="1">
      <alignment/>
      <protection/>
    </xf>
    <xf numFmtId="3" fontId="9" fillId="0" borderId="0" xfId="30" applyNumberFormat="1" applyFont="1">
      <alignment/>
      <protection/>
    </xf>
    <xf numFmtId="4" fontId="9" fillId="0" borderId="0" xfId="30" applyNumberFormat="1" applyFont="1">
      <alignment/>
      <protection/>
    </xf>
    <xf numFmtId="0" fontId="9" fillId="0" borderId="0" xfId="30" applyFont="1" applyAlignment="1">
      <alignment horizontal="centerContinuous"/>
      <protection/>
    </xf>
    <xf numFmtId="0" fontId="9" fillId="0" borderId="2" xfId="30" applyFont="1" applyBorder="1">
      <alignment/>
      <protection/>
    </xf>
    <xf numFmtId="180" fontId="10" fillId="0" borderId="1" xfId="30" applyNumberFormat="1" applyFont="1" applyBorder="1">
      <alignment/>
      <protection/>
    </xf>
    <xf numFmtId="0" fontId="10" fillId="0" borderId="2" xfId="30" applyFont="1" applyBorder="1">
      <alignment/>
      <protection/>
    </xf>
    <xf numFmtId="0" fontId="10" fillId="0" borderId="0" xfId="30" applyFont="1" applyBorder="1">
      <alignment/>
      <protection/>
    </xf>
    <xf numFmtId="180" fontId="9" fillId="0" borderId="1" xfId="30" applyNumberFormat="1" applyFont="1" applyBorder="1">
      <alignment/>
      <protection/>
    </xf>
    <xf numFmtId="0" fontId="9" fillId="0" borderId="0" xfId="30" applyFont="1" applyBorder="1">
      <alignment/>
      <protection/>
    </xf>
    <xf numFmtId="0" fontId="9" fillId="0" borderId="3" xfId="30" applyFont="1" applyBorder="1">
      <alignment/>
      <protection/>
    </xf>
    <xf numFmtId="3" fontId="9" fillId="0" borderId="0" xfId="30" applyNumberFormat="1" applyFont="1" applyAlignment="1">
      <alignment horizontal="centerContinuous"/>
      <protection/>
    </xf>
    <xf numFmtId="0" fontId="9" fillId="0" borderId="0" xfId="30" applyFont="1" applyAlignment="1" quotePrefix="1">
      <alignment horizontal="left"/>
      <protection/>
    </xf>
    <xf numFmtId="3" fontId="9" fillId="0" borderId="0" xfId="30" applyNumberFormat="1" applyFont="1" applyBorder="1">
      <alignment/>
      <protection/>
    </xf>
    <xf numFmtId="0" fontId="10" fillId="0" borderId="0" xfId="30" applyFont="1">
      <alignment/>
      <protection/>
    </xf>
    <xf numFmtId="0" fontId="10" fillId="0" borderId="0" xfId="30" applyFont="1" applyBorder="1" applyAlignment="1" quotePrefix="1">
      <alignment horizontal="left"/>
      <protection/>
    </xf>
    <xf numFmtId="0" fontId="9" fillId="0" borderId="0" xfId="31" applyFont="1">
      <alignment/>
      <protection/>
    </xf>
    <xf numFmtId="0" fontId="9" fillId="0" borderId="0" xfId="31" applyFont="1" applyBorder="1">
      <alignment/>
      <protection/>
    </xf>
    <xf numFmtId="0" fontId="9" fillId="0" borderId="0" xfId="22" applyFont="1">
      <alignment/>
      <protection/>
    </xf>
    <xf numFmtId="0" fontId="9" fillId="0" borderId="0" xfId="22" applyFont="1" applyAlignment="1">
      <alignment horizontal="centerContinuous"/>
      <protection/>
    </xf>
    <xf numFmtId="0" fontId="9" fillId="0" borderId="0" xfId="22" applyFont="1" applyBorder="1">
      <alignment/>
      <protection/>
    </xf>
    <xf numFmtId="0" fontId="10" fillId="0" borderId="0" xfId="22" applyFont="1" applyBorder="1">
      <alignment/>
      <protection/>
    </xf>
    <xf numFmtId="0" fontId="11" fillId="0" borderId="0" xfId="22" applyFont="1" applyBorder="1">
      <alignment/>
      <protection/>
    </xf>
    <xf numFmtId="0" fontId="10" fillId="0" borderId="0" xfId="22" applyFont="1" applyBorder="1" applyAlignment="1" quotePrefix="1">
      <alignment horizontal="left"/>
      <protection/>
    </xf>
    <xf numFmtId="0" fontId="10" fillId="0" borderId="0" xfId="22" applyFont="1" applyBorder="1" applyAlignment="1">
      <alignment/>
      <protection/>
    </xf>
    <xf numFmtId="183" fontId="9" fillId="0" borderId="1" xfId="22" applyNumberFormat="1" applyFont="1" applyBorder="1">
      <alignment/>
      <protection/>
    </xf>
    <xf numFmtId="0" fontId="10" fillId="0" borderId="0" xfId="22" applyFont="1" applyBorder="1" applyAlignment="1">
      <alignment horizontal="center"/>
      <protection/>
    </xf>
    <xf numFmtId="0" fontId="10" fillId="0" borderId="0" xfId="22" applyFont="1" applyAlignment="1" quotePrefix="1">
      <alignment horizontal="left"/>
      <protection/>
    </xf>
    <xf numFmtId="0" fontId="10" fillId="0" borderId="0" xfId="22" applyFont="1">
      <alignment/>
      <protection/>
    </xf>
    <xf numFmtId="0" fontId="15" fillId="0" borderId="0" xfId="22" applyFont="1">
      <alignment/>
      <protection/>
    </xf>
    <xf numFmtId="0" fontId="10" fillId="0" borderId="0" xfId="22" applyFont="1" applyAlignment="1">
      <alignment horizontal="centerContinuous"/>
      <protection/>
    </xf>
    <xf numFmtId="0" fontId="9" fillId="0" borderId="5" xfId="22" applyFont="1" applyBorder="1">
      <alignment/>
      <protection/>
    </xf>
    <xf numFmtId="183" fontId="9" fillId="0" borderId="7" xfId="22" applyNumberFormat="1" applyFont="1" applyBorder="1">
      <alignment/>
      <protection/>
    </xf>
    <xf numFmtId="0" fontId="9" fillId="0" borderId="0" xfId="23" applyFont="1">
      <alignment/>
      <protection/>
    </xf>
    <xf numFmtId="0" fontId="9" fillId="0" borderId="0" xfId="23" applyFont="1" applyAlignment="1">
      <alignment/>
      <protection/>
    </xf>
    <xf numFmtId="0" fontId="9" fillId="0" borderId="1" xfId="23" applyFont="1" applyBorder="1">
      <alignment/>
      <protection/>
    </xf>
    <xf numFmtId="0" fontId="9" fillId="0" borderId="0" xfId="23" applyFont="1" applyBorder="1">
      <alignment/>
      <protection/>
    </xf>
    <xf numFmtId="0" fontId="9" fillId="0" borderId="4" xfId="23" applyFont="1" applyBorder="1">
      <alignment/>
      <protection/>
    </xf>
    <xf numFmtId="0" fontId="10" fillId="0" borderId="2" xfId="23" applyFont="1" applyBorder="1">
      <alignment/>
      <protection/>
    </xf>
    <xf numFmtId="0" fontId="9" fillId="0" borderId="2" xfId="23" applyFont="1" applyBorder="1">
      <alignment/>
      <protection/>
    </xf>
    <xf numFmtId="0" fontId="10" fillId="0" borderId="2" xfId="23" applyFont="1" applyBorder="1" applyAlignment="1" quotePrefix="1">
      <alignment horizontal="left"/>
      <protection/>
    </xf>
    <xf numFmtId="0" fontId="10" fillId="0" borderId="0" xfId="23" applyFont="1" applyBorder="1">
      <alignment/>
      <protection/>
    </xf>
    <xf numFmtId="0" fontId="11" fillId="0" borderId="0" xfId="23" applyFont="1" applyBorder="1">
      <alignment/>
      <protection/>
    </xf>
    <xf numFmtId="0" fontId="10" fillId="0" borderId="0" xfId="23" applyFont="1" applyBorder="1" applyAlignment="1" quotePrefix="1">
      <alignment horizontal="left"/>
      <protection/>
    </xf>
    <xf numFmtId="0" fontId="10" fillId="0" borderId="0" xfId="23" applyFont="1" applyBorder="1" applyAlignment="1">
      <alignment/>
      <protection/>
    </xf>
    <xf numFmtId="0" fontId="10" fillId="0" borderId="0" xfId="23" applyFont="1" applyBorder="1" applyAlignment="1">
      <alignment horizontal="center"/>
      <protection/>
    </xf>
    <xf numFmtId="0" fontId="10" fillId="0" borderId="2" xfId="23" applyFont="1" applyBorder="1" applyAlignment="1">
      <alignment horizontal="left"/>
      <protection/>
    </xf>
    <xf numFmtId="0" fontId="10" fillId="0" borderId="0" xfId="23" applyFont="1" applyAlignment="1" quotePrefix="1">
      <alignment horizontal="left"/>
      <protection/>
    </xf>
    <xf numFmtId="0" fontId="10" fillId="0" borderId="0" xfId="23" applyFont="1">
      <alignment/>
      <protection/>
    </xf>
    <xf numFmtId="0" fontId="15" fillId="0" borderId="0" xfId="23" applyFont="1">
      <alignment/>
      <protection/>
    </xf>
    <xf numFmtId="0" fontId="9" fillId="0" borderId="5" xfId="23" applyFont="1" applyBorder="1">
      <alignment/>
      <protection/>
    </xf>
    <xf numFmtId="187" fontId="9" fillId="0" borderId="0" xfId="24" applyNumberFormat="1" applyFont="1">
      <alignment/>
      <protection/>
    </xf>
    <xf numFmtId="4" fontId="9" fillId="0" borderId="0" xfId="24" applyNumberFormat="1" applyFont="1">
      <alignment/>
      <protection/>
    </xf>
    <xf numFmtId="187" fontId="16" fillId="0" borderId="0" xfId="24" applyNumberFormat="1" applyFont="1" applyAlignment="1">
      <alignment horizontal="center"/>
      <protection/>
    </xf>
    <xf numFmtId="187" fontId="17" fillId="0" borderId="0" xfId="24" applyNumberFormat="1" applyFont="1">
      <alignment/>
      <protection/>
    </xf>
    <xf numFmtId="187" fontId="9" fillId="0" borderId="8" xfId="24" applyNumberFormat="1" applyFont="1" applyBorder="1">
      <alignment/>
      <protection/>
    </xf>
    <xf numFmtId="187" fontId="9" fillId="0" borderId="0" xfId="24" applyNumberFormat="1" applyFont="1" applyBorder="1">
      <alignment/>
      <protection/>
    </xf>
    <xf numFmtId="187" fontId="9" fillId="0" borderId="9" xfId="24" applyNumberFormat="1" applyFont="1" applyBorder="1">
      <alignment/>
      <protection/>
    </xf>
    <xf numFmtId="187" fontId="10" fillId="0" borderId="10" xfId="24" applyNumberFormat="1" applyFont="1" applyBorder="1" applyAlignment="1">
      <alignment horizontal="center" vertical="top"/>
      <protection/>
    </xf>
    <xf numFmtId="187" fontId="9" fillId="0" borderId="10" xfId="24" applyNumberFormat="1" applyFont="1" applyBorder="1">
      <alignment/>
      <protection/>
    </xf>
    <xf numFmtId="187" fontId="9" fillId="0" borderId="11" xfId="24" applyNumberFormat="1" applyFont="1" applyBorder="1">
      <alignment/>
      <protection/>
    </xf>
    <xf numFmtId="187" fontId="17" fillId="0" borderId="0" xfId="24" applyNumberFormat="1" applyFont="1" applyBorder="1">
      <alignment/>
      <protection/>
    </xf>
    <xf numFmtId="181" fontId="17" fillId="0" borderId="10" xfId="24" applyNumberFormat="1" applyFont="1" applyBorder="1">
      <alignment/>
      <protection/>
    </xf>
    <xf numFmtId="181" fontId="17" fillId="0" borderId="11" xfId="24" applyNumberFormat="1" applyFont="1" applyBorder="1">
      <alignment/>
      <protection/>
    </xf>
    <xf numFmtId="187" fontId="17" fillId="0" borderId="9" xfId="24" applyNumberFormat="1" applyFont="1" applyBorder="1">
      <alignment/>
      <protection/>
    </xf>
    <xf numFmtId="4" fontId="17" fillId="0" borderId="0" xfId="24" applyNumberFormat="1" applyFont="1">
      <alignment/>
      <protection/>
    </xf>
    <xf numFmtId="181" fontId="13" fillId="0" borderId="10" xfId="24" applyNumberFormat="1" applyFont="1" applyBorder="1" applyProtection="1">
      <alignment/>
      <protection locked="0"/>
    </xf>
    <xf numFmtId="181" fontId="13" fillId="0" borderId="11" xfId="24" applyNumberFormat="1" applyFont="1" applyBorder="1" applyProtection="1">
      <alignment/>
      <protection locked="0"/>
    </xf>
    <xf numFmtId="187" fontId="13" fillId="0" borderId="0" xfId="24" applyNumberFormat="1" applyFont="1" applyBorder="1" applyProtection="1">
      <alignment/>
      <protection locked="0"/>
    </xf>
    <xf numFmtId="187" fontId="13" fillId="0" borderId="0" xfId="24" applyNumberFormat="1" applyFont="1" applyBorder="1">
      <alignment/>
      <protection/>
    </xf>
    <xf numFmtId="187" fontId="13" fillId="0" borderId="9" xfId="24" applyNumberFormat="1" applyFont="1" applyBorder="1">
      <alignment/>
      <protection/>
    </xf>
    <xf numFmtId="181" fontId="13" fillId="0" borderId="11" xfId="24" applyNumberFormat="1" applyFont="1" applyBorder="1">
      <alignment/>
      <protection/>
    </xf>
    <xf numFmtId="187" fontId="13" fillId="0" borderId="0" xfId="24" applyNumberFormat="1" applyFont="1">
      <alignment/>
      <protection/>
    </xf>
    <xf numFmtId="4" fontId="13" fillId="0" borderId="0" xfId="24" applyNumberFormat="1" applyFont="1">
      <alignment/>
      <protection/>
    </xf>
    <xf numFmtId="181" fontId="9" fillId="0" borderId="10" xfId="24" applyNumberFormat="1" applyFont="1" applyBorder="1">
      <alignment/>
      <protection/>
    </xf>
    <xf numFmtId="181" fontId="9" fillId="0" borderId="11" xfId="24" applyNumberFormat="1" applyFont="1" applyBorder="1">
      <alignment/>
      <protection/>
    </xf>
    <xf numFmtId="181" fontId="17" fillId="0" borderId="10" xfId="24" applyNumberFormat="1" applyFont="1" applyBorder="1" applyProtection="1">
      <alignment/>
      <protection locked="0"/>
    </xf>
    <xf numFmtId="181" fontId="17" fillId="0" borderId="11" xfId="24" applyNumberFormat="1" applyFont="1" applyBorder="1" applyProtection="1">
      <alignment/>
      <protection locked="0"/>
    </xf>
    <xf numFmtId="187" fontId="17" fillId="0" borderId="0" xfId="24" applyNumberFormat="1" applyFont="1" applyBorder="1" applyProtection="1">
      <alignment/>
      <protection locked="0"/>
    </xf>
    <xf numFmtId="187" fontId="10" fillId="0" borderId="0" xfId="24" applyNumberFormat="1" applyFont="1">
      <alignment/>
      <protection/>
    </xf>
    <xf numFmtId="4" fontId="10" fillId="0" borderId="0" xfId="24" applyNumberFormat="1" applyFont="1">
      <alignment/>
      <protection/>
    </xf>
    <xf numFmtId="181" fontId="9" fillId="0" borderId="10" xfId="24" applyNumberFormat="1" applyFont="1" applyBorder="1" applyProtection="1">
      <alignment/>
      <protection locked="0"/>
    </xf>
    <xf numFmtId="181" fontId="9" fillId="0" borderId="11" xfId="24" applyNumberFormat="1" applyFont="1" applyBorder="1" applyProtection="1">
      <alignment/>
      <protection locked="0"/>
    </xf>
    <xf numFmtId="187" fontId="9" fillId="0" borderId="0" xfId="24" applyNumberFormat="1" applyFont="1" applyBorder="1" applyProtection="1">
      <alignment/>
      <protection locked="0"/>
    </xf>
    <xf numFmtId="0" fontId="9" fillId="0" borderId="0" xfId="24" applyFont="1">
      <alignment/>
      <protection/>
    </xf>
    <xf numFmtId="0" fontId="9" fillId="0" borderId="0" xfId="32" applyFont="1">
      <alignment/>
      <protection/>
    </xf>
    <xf numFmtId="0" fontId="9" fillId="0" borderId="0" xfId="32" applyFont="1" applyAlignment="1">
      <alignment/>
      <protection/>
    </xf>
    <xf numFmtId="0" fontId="10" fillId="0" borderId="0" xfId="32" applyFont="1" applyAlignment="1">
      <alignment horizontal="left"/>
      <protection/>
    </xf>
    <xf numFmtId="0" fontId="9" fillId="0" borderId="0" xfId="32" applyFont="1" applyAlignment="1">
      <alignment horizontal="centerContinuous"/>
      <protection/>
    </xf>
    <xf numFmtId="0" fontId="10" fillId="0" borderId="0" xfId="32" applyFont="1" applyAlignment="1">
      <alignment horizontal="center"/>
      <protection/>
    </xf>
    <xf numFmtId="0" fontId="9" fillId="0" borderId="0" xfId="32" applyFont="1" applyAlignment="1">
      <alignment horizontal="left"/>
      <protection/>
    </xf>
    <xf numFmtId="0" fontId="9" fillId="0" borderId="12" xfId="32" applyFont="1" applyBorder="1">
      <alignment/>
      <protection/>
    </xf>
    <xf numFmtId="0" fontId="9" fillId="0" borderId="1" xfId="32" applyFont="1" applyBorder="1">
      <alignment/>
      <protection/>
    </xf>
    <xf numFmtId="0" fontId="9" fillId="0" borderId="2" xfId="32" applyFont="1" applyBorder="1">
      <alignment/>
      <protection/>
    </xf>
    <xf numFmtId="0" fontId="9" fillId="0" borderId="0" xfId="32" applyFont="1" applyBorder="1">
      <alignment/>
      <protection/>
    </xf>
    <xf numFmtId="0" fontId="10" fillId="0" borderId="0" xfId="32" applyFont="1" applyBorder="1" applyAlignment="1">
      <alignment horizontal="left"/>
      <protection/>
    </xf>
    <xf numFmtId="0" fontId="10" fillId="0" borderId="0" xfId="32" applyFont="1" applyBorder="1">
      <alignment/>
      <protection/>
    </xf>
    <xf numFmtId="0" fontId="9" fillId="0" borderId="7" xfId="32" applyFont="1" applyBorder="1">
      <alignment/>
      <protection/>
    </xf>
    <xf numFmtId="0" fontId="9" fillId="0" borderId="1" xfId="32" applyFont="1" applyBorder="1" applyAlignment="1">
      <alignment horizontal="center"/>
      <protection/>
    </xf>
    <xf numFmtId="0" fontId="10" fillId="0" borderId="2" xfId="32" applyFont="1" applyBorder="1">
      <alignment/>
      <protection/>
    </xf>
    <xf numFmtId="180" fontId="10" fillId="0" borderId="1" xfId="32" applyNumberFormat="1" applyFont="1" applyBorder="1">
      <alignment/>
      <protection/>
    </xf>
    <xf numFmtId="0" fontId="9" fillId="0" borderId="1" xfId="32" applyFont="1" applyBorder="1" applyAlignment="1" quotePrefix="1">
      <alignment horizontal="center"/>
      <protection/>
    </xf>
    <xf numFmtId="180" fontId="9" fillId="0" borderId="1" xfId="32" applyNumberFormat="1" applyFont="1" applyBorder="1">
      <alignment/>
      <protection/>
    </xf>
    <xf numFmtId="0" fontId="10" fillId="0" borderId="2" xfId="32" applyFont="1" applyBorder="1" applyAlignment="1">
      <alignment horizontal="left"/>
      <protection/>
    </xf>
    <xf numFmtId="188" fontId="10" fillId="0" borderId="1" xfId="32" applyNumberFormat="1" applyFont="1" applyBorder="1">
      <alignment/>
      <protection/>
    </xf>
    <xf numFmtId="0" fontId="10" fillId="0" borderId="0" xfId="32" applyFont="1" applyBorder="1" applyAlignment="1" quotePrefix="1">
      <alignment horizontal="left"/>
      <protection/>
    </xf>
    <xf numFmtId="0" fontId="10" fillId="0" borderId="0" xfId="32" applyFont="1" applyBorder="1" applyAlignment="1">
      <alignment/>
      <protection/>
    </xf>
    <xf numFmtId="0" fontId="10" fillId="0" borderId="2" xfId="32" applyFont="1" applyBorder="1" applyAlignment="1" quotePrefix="1">
      <alignment horizontal="left"/>
      <protection/>
    </xf>
    <xf numFmtId="0" fontId="10" fillId="0" borderId="4" xfId="32" applyFont="1" applyBorder="1">
      <alignment/>
      <protection/>
    </xf>
    <xf numFmtId="0" fontId="9" fillId="0" borderId="5" xfId="32" applyFont="1" applyBorder="1">
      <alignment/>
      <protection/>
    </xf>
    <xf numFmtId="180" fontId="9" fillId="0" borderId="7" xfId="32" applyNumberFormat="1" applyFont="1" applyBorder="1">
      <alignment/>
      <protection/>
    </xf>
    <xf numFmtId="0" fontId="9" fillId="0" borderId="7" xfId="32" applyFont="1" applyBorder="1" applyAlignment="1">
      <alignment horizontal="center"/>
      <protection/>
    </xf>
    <xf numFmtId="183" fontId="9" fillId="0" borderId="0" xfId="22" applyNumberFormat="1" applyFont="1">
      <alignment/>
      <protection/>
    </xf>
    <xf numFmtId="183" fontId="10" fillId="0" borderId="0" xfId="23" applyNumberFormat="1" applyFont="1" applyBorder="1">
      <alignment/>
      <protection/>
    </xf>
    <xf numFmtId="183" fontId="9" fillId="0" borderId="0" xfId="23" applyNumberFormat="1" applyFont="1">
      <alignment/>
      <protection/>
    </xf>
    <xf numFmtId="3" fontId="9" fillId="0" borderId="0" xfId="29" applyNumberFormat="1" applyFont="1" applyBorder="1">
      <alignment/>
      <protection/>
    </xf>
    <xf numFmtId="0" fontId="9" fillId="0" borderId="0" xfId="24" applyFont="1" quotePrefix="1">
      <alignment/>
      <protection/>
    </xf>
    <xf numFmtId="3" fontId="6" fillId="0" borderId="1" xfId="26" applyNumberFormat="1" applyFont="1" applyBorder="1" applyProtection="1">
      <alignment/>
      <protection locked="0"/>
    </xf>
    <xf numFmtId="0" fontId="6" fillId="0" borderId="0" xfId="26" applyFont="1" applyBorder="1" applyAlignment="1" quotePrefix="1">
      <alignment horizontal="left"/>
      <protection/>
    </xf>
    <xf numFmtId="181" fontId="7" fillId="0" borderId="0" xfId="27" applyNumberFormat="1" applyFont="1" applyBorder="1" applyAlignment="1">
      <alignment/>
      <protection/>
    </xf>
    <xf numFmtId="0" fontId="6" fillId="0" borderId="0" xfId="26" applyFont="1" applyBorder="1" applyAlignment="1">
      <alignment/>
      <protection/>
    </xf>
    <xf numFmtId="203" fontId="6" fillId="0" borderId="0" xfId="26" applyNumberFormat="1" applyFont="1" applyAlignment="1">
      <alignment horizontal="center"/>
      <protection/>
    </xf>
    <xf numFmtId="0" fontId="6" fillId="0" borderId="0" xfId="26" applyNumberFormat="1" applyFont="1" applyAlignment="1">
      <alignment horizontal="center"/>
      <protection/>
    </xf>
    <xf numFmtId="3" fontId="9" fillId="0" borderId="0" xfId="22" applyNumberFormat="1" applyFont="1">
      <alignment/>
      <protection/>
    </xf>
    <xf numFmtId="181" fontId="6" fillId="0" borderId="0" xfId="26" applyNumberFormat="1" applyFont="1" applyAlignment="1" quotePrefix="1">
      <alignment horizontal="center"/>
      <protection/>
    </xf>
    <xf numFmtId="0" fontId="6" fillId="0" borderId="0" xfId="26" applyFont="1" quotePrefix="1">
      <alignment/>
      <protection/>
    </xf>
    <xf numFmtId="0" fontId="5" fillId="0" borderId="0" xfId="26" applyFont="1" quotePrefix="1">
      <alignment/>
      <protection/>
    </xf>
    <xf numFmtId="209" fontId="4" fillId="0" borderId="0" xfId="26" applyNumberFormat="1">
      <alignment/>
      <protection/>
    </xf>
    <xf numFmtId="0" fontId="20" fillId="2" borderId="0" xfId="26" applyFont="1" applyFill="1" applyAlignment="1">
      <alignment horizontal="center"/>
      <protection/>
    </xf>
    <xf numFmtId="0" fontId="9" fillId="0" borderId="0" xfId="31" applyFont="1" applyFill="1">
      <alignment/>
      <protection/>
    </xf>
    <xf numFmtId="181" fontId="9" fillId="0" borderId="0" xfId="24" applyNumberFormat="1" applyFont="1">
      <alignment/>
      <protection/>
    </xf>
    <xf numFmtId="0" fontId="20" fillId="0" borderId="0" xfId="26" applyFont="1" applyFill="1" applyAlignment="1">
      <alignment horizontal="center"/>
      <protection/>
    </xf>
    <xf numFmtId="180" fontId="9" fillId="0" borderId="2" xfId="30" applyNumberFormat="1" applyFont="1" applyBorder="1">
      <alignment/>
      <protection/>
    </xf>
    <xf numFmtId="3" fontId="10" fillId="0" borderId="1" xfId="29" applyNumberFormat="1" applyFont="1" applyFill="1" applyBorder="1">
      <alignment/>
      <protection/>
    </xf>
    <xf numFmtId="179" fontId="6" fillId="0" borderId="1" xfId="19" applyNumberFormat="1" applyFont="1" applyFill="1" applyBorder="1" applyAlignment="1">
      <alignment/>
    </xf>
    <xf numFmtId="179" fontId="6" fillId="0" borderId="1" xfId="19" applyNumberFormat="1" applyFont="1" applyFill="1" applyBorder="1" applyAlignment="1" applyProtection="1">
      <alignment/>
      <protection locked="0"/>
    </xf>
    <xf numFmtId="179" fontId="5" fillId="0" borderId="1" xfId="19" applyNumberFormat="1" applyFont="1" applyFill="1" applyBorder="1" applyAlignment="1">
      <alignment/>
    </xf>
    <xf numFmtId="179" fontId="7" fillId="0" borderId="1" xfId="19" applyNumberFormat="1" applyFont="1" applyFill="1" applyBorder="1" applyAlignment="1">
      <alignment/>
    </xf>
    <xf numFmtId="179" fontId="7" fillId="0" borderId="1" xfId="19" applyNumberFormat="1" applyFont="1" applyFill="1" applyBorder="1" applyAlignment="1" applyProtection="1">
      <alignment/>
      <protection locked="0"/>
    </xf>
    <xf numFmtId="179" fontId="6" fillId="0" borderId="1" xfId="19" applyNumberFormat="1" applyFont="1" applyFill="1" applyBorder="1" applyAlignment="1" applyProtection="1">
      <alignment/>
      <protection/>
    </xf>
    <xf numFmtId="0" fontId="10" fillId="0" borderId="2" xfId="30" applyFont="1" applyBorder="1" applyAlignment="1" quotePrefix="1">
      <alignment horizontal="left"/>
      <protection/>
    </xf>
    <xf numFmtId="0" fontId="7" fillId="0" borderId="0" xfId="25" applyFont="1" applyBorder="1">
      <alignment/>
      <protection/>
    </xf>
    <xf numFmtId="0" fontId="7" fillId="0" borderId="0" xfId="25" applyFont="1" applyBorder="1" applyAlignment="1">
      <alignment horizontal="left"/>
      <protection/>
    </xf>
    <xf numFmtId="179" fontId="21" fillId="0" borderId="1" xfId="19" applyNumberFormat="1" applyFont="1" applyFill="1" applyBorder="1" applyAlignment="1">
      <alignment/>
    </xf>
    <xf numFmtId="179" fontId="21" fillId="0" borderId="1" xfId="19" applyNumberFormat="1" applyFont="1" applyFill="1" applyBorder="1" applyAlignment="1" applyProtection="1">
      <alignment/>
      <protection locked="0"/>
    </xf>
    <xf numFmtId="179" fontId="7" fillId="0" borderId="1" xfId="19" applyNumberFormat="1" applyFont="1" applyFill="1" applyBorder="1" applyAlignment="1">
      <alignment/>
    </xf>
    <xf numFmtId="0" fontId="6" fillId="0" borderId="0" xfId="26" applyFont="1" applyBorder="1" applyAlignment="1">
      <alignment horizontal="left"/>
      <protection/>
    </xf>
    <xf numFmtId="0" fontId="21" fillId="0" borderId="0" xfId="26" applyFont="1" applyBorder="1" applyAlignment="1">
      <alignment horizontal="left"/>
      <protection/>
    </xf>
    <xf numFmtId="3" fontId="5" fillId="0" borderId="1" xfId="26" applyNumberFormat="1" applyFont="1" applyBorder="1" applyProtection="1">
      <alignment/>
      <protection locked="0"/>
    </xf>
    <xf numFmtId="3" fontId="5" fillId="0" borderId="1" xfId="26" applyNumberFormat="1" applyFont="1" applyBorder="1">
      <alignment/>
      <protection/>
    </xf>
    <xf numFmtId="3" fontId="22" fillId="0" borderId="1" xfId="26" applyNumberFormat="1" applyFont="1" applyFill="1" applyBorder="1" applyProtection="1">
      <alignment/>
      <protection locked="0"/>
    </xf>
    <xf numFmtId="3" fontId="22" fillId="0" borderId="1" xfId="26" applyNumberFormat="1" applyFont="1" applyFill="1" applyBorder="1">
      <alignment/>
      <protection/>
    </xf>
    <xf numFmtId="3" fontId="6" fillId="0" borderId="1" xfId="26" applyNumberFormat="1" applyFont="1" applyBorder="1">
      <alignment/>
      <protection/>
    </xf>
    <xf numFmtId="3" fontId="7" fillId="0" borderId="1" xfId="26" applyNumberFormat="1" applyFont="1" applyBorder="1" applyProtection="1">
      <alignment/>
      <protection locked="0"/>
    </xf>
    <xf numFmtId="3" fontId="7" fillId="0" borderId="1" xfId="26" applyNumberFormat="1" applyFont="1" applyBorder="1">
      <alignment/>
      <protection/>
    </xf>
    <xf numFmtId="0" fontId="7" fillId="0" borderId="0" xfId="26" applyFont="1" applyBorder="1" applyAlignment="1">
      <alignment horizontal="left"/>
      <protection/>
    </xf>
    <xf numFmtId="181" fontId="6" fillId="0" borderId="0" xfId="27" applyNumberFormat="1" applyFont="1" applyBorder="1" applyAlignment="1">
      <alignment/>
      <protection/>
    </xf>
    <xf numFmtId="3" fontId="9" fillId="0" borderId="1" xfId="33" applyNumberFormat="1" applyFont="1" applyBorder="1">
      <alignment/>
      <protection/>
    </xf>
    <xf numFmtId="3" fontId="9" fillId="0" borderId="1" xfId="33" applyNumberFormat="1" applyFont="1" applyBorder="1" applyAlignment="1">
      <alignment horizontal="right"/>
      <protection/>
    </xf>
    <xf numFmtId="3" fontId="9" fillId="0" borderId="1" xfId="33" applyNumberFormat="1" applyFont="1" applyFill="1" applyBorder="1" applyAlignment="1">
      <alignment horizontal="right"/>
      <protection/>
    </xf>
    <xf numFmtId="0" fontId="9" fillId="0" borderId="1" xfId="33" applyFont="1" applyBorder="1">
      <alignment/>
      <protection/>
    </xf>
    <xf numFmtId="0" fontId="13" fillId="0" borderId="0" xfId="28" applyFont="1" applyBorder="1" applyAlignment="1">
      <alignment horizontal="left"/>
      <protection/>
    </xf>
    <xf numFmtId="0" fontId="9" fillId="0" borderId="0" xfId="29" applyFont="1" applyBorder="1" quotePrefix="1">
      <alignment/>
      <protection/>
    </xf>
    <xf numFmtId="180" fontId="10" fillId="0" borderId="3" xfId="30" applyNumberFormat="1" applyFont="1" applyBorder="1">
      <alignment/>
      <protection/>
    </xf>
    <xf numFmtId="0" fontId="10" fillId="0" borderId="2" xfId="30" applyFont="1" applyFill="1" applyBorder="1" applyAlignment="1">
      <alignment horizontal="left"/>
      <protection/>
    </xf>
    <xf numFmtId="0" fontId="10" fillId="0" borderId="0" xfId="30" applyFont="1" applyFill="1" applyBorder="1" applyAlignment="1">
      <alignment horizontal="centerContinuous"/>
      <protection/>
    </xf>
    <xf numFmtId="0" fontId="10" fillId="0" borderId="2" xfId="30" applyFont="1" applyFill="1" applyBorder="1" applyAlignment="1" quotePrefix="1">
      <alignment horizontal="left"/>
      <protection/>
    </xf>
    <xf numFmtId="0" fontId="9" fillId="0" borderId="2" xfId="30" applyFont="1" applyFill="1" applyBorder="1" applyAlignment="1" quotePrefix="1">
      <alignment horizontal="left"/>
      <protection/>
    </xf>
    <xf numFmtId="0" fontId="10" fillId="0" borderId="3" xfId="30" applyFont="1" applyBorder="1">
      <alignment/>
      <protection/>
    </xf>
    <xf numFmtId="0" fontId="10" fillId="0" borderId="3" xfId="30" applyFont="1" applyBorder="1" applyAlignment="1" quotePrefix="1">
      <alignment horizontal="left"/>
      <protection/>
    </xf>
    <xf numFmtId="0" fontId="10" fillId="0" borderId="3" xfId="30" applyFont="1" applyBorder="1" applyAlignment="1">
      <alignment horizontal="centerContinuous"/>
      <protection/>
    </xf>
    <xf numFmtId="0" fontId="9" fillId="0" borderId="2" xfId="30" applyFont="1" applyBorder="1" quotePrefix="1">
      <alignment/>
      <protection/>
    </xf>
    <xf numFmtId="0" fontId="9" fillId="0" borderId="0" xfId="33" applyFont="1">
      <alignment/>
      <protection/>
    </xf>
    <xf numFmtId="3" fontId="9" fillId="0" borderId="0" xfId="33" applyNumberFormat="1" applyFont="1">
      <alignment/>
      <protection/>
    </xf>
    <xf numFmtId="3" fontId="10" fillId="0" borderId="1" xfId="33" applyNumberFormat="1" applyFont="1" applyBorder="1" applyAlignment="1">
      <alignment horizontal="right"/>
      <protection/>
    </xf>
    <xf numFmtId="0" fontId="13" fillId="0" borderId="0" xfId="33" applyFont="1">
      <alignment/>
      <protection/>
    </xf>
    <xf numFmtId="3" fontId="10" fillId="0" borderId="1" xfId="33" applyNumberFormat="1" applyFont="1" applyFill="1" applyBorder="1" applyAlignment="1">
      <alignment horizontal="right"/>
      <protection/>
    </xf>
    <xf numFmtId="0" fontId="9" fillId="0" borderId="0" xfId="33" applyFont="1" applyFill="1">
      <alignment/>
      <protection/>
    </xf>
    <xf numFmtId="0" fontId="9" fillId="0" borderId="0" xfId="33" applyFont="1" applyAlignment="1">
      <alignment vertical="center"/>
      <protection/>
    </xf>
    <xf numFmtId="0" fontId="10" fillId="0" borderId="0" xfId="33" applyFont="1" applyFill="1" applyAlignment="1">
      <alignment horizontal="center" vertical="center" wrapText="1"/>
      <protection/>
    </xf>
    <xf numFmtId="3" fontId="9" fillId="0" borderId="0" xfId="33" applyNumberFormat="1" applyFont="1" applyFill="1">
      <alignment/>
      <protection/>
    </xf>
    <xf numFmtId="0" fontId="9" fillId="0" borderId="0" xfId="31" applyFont="1" applyFill="1" applyBorder="1">
      <alignment/>
      <protection/>
    </xf>
    <xf numFmtId="0" fontId="9" fillId="0" borderId="0" xfId="33" applyFont="1" applyFill="1" applyAlignment="1">
      <alignment horizontal="right"/>
      <protection/>
    </xf>
    <xf numFmtId="3" fontId="10" fillId="0" borderId="1" xfId="33" applyNumberFormat="1" applyFont="1" applyFill="1" applyBorder="1">
      <alignment/>
      <protection/>
    </xf>
    <xf numFmtId="211" fontId="10" fillId="0" borderId="1" xfId="33" applyNumberFormat="1" applyFont="1" applyBorder="1" applyAlignment="1">
      <alignment horizontal="right"/>
      <protection/>
    </xf>
    <xf numFmtId="0" fontId="10" fillId="0" borderId="1" xfId="33" applyNumberFormat="1" applyFont="1" applyBorder="1" applyAlignment="1">
      <alignment horizontal="right"/>
      <protection/>
    </xf>
    <xf numFmtId="211" fontId="9" fillId="0" borderId="1" xfId="33" applyNumberFormat="1" applyFont="1" applyBorder="1" applyAlignment="1">
      <alignment horizontal="right"/>
      <protection/>
    </xf>
    <xf numFmtId="212" fontId="10" fillId="0" borderId="1" xfId="33" applyNumberFormat="1" applyFont="1" applyBorder="1" applyAlignment="1">
      <alignment horizontal="right"/>
      <protection/>
    </xf>
    <xf numFmtId="213" fontId="10" fillId="0" borderId="1" xfId="33" applyNumberFormat="1" applyFont="1" applyBorder="1" applyAlignment="1">
      <alignment horizontal="right"/>
      <protection/>
    </xf>
    <xf numFmtId="213" fontId="10" fillId="0" borderId="1" xfId="33" applyNumberFormat="1" applyFont="1" applyFill="1" applyBorder="1" applyAlignment="1">
      <alignment horizontal="right"/>
      <protection/>
    </xf>
    <xf numFmtId="210" fontId="9" fillId="0" borderId="1" xfId="33" applyNumberFormat="1" applyFont="1" applyBorder="1" applyAlignment="1">
      <alignment horizontal="right"/>
      <protection/>
    </xf>
    <xf numFmtId="213" fontId="9" fillId="0" borderId="1" xfId="33" applyNumberFormat="1" applyFont="1" applyBorder="1" applyAlignment="1">
      <alignment horizontal="right"/>
      <protection/>
    </xf>
    <xf numFmtId="212" fontId="9" fillId="0" borderId="1" xfId="33" applyNumberFormat="1" applyFont="1" applyBorder="1" applyAlignment="1">
      <alignment horizontal="right"/>
      <protection/>
    </xf>
    <xf numFmtId="214" fontId="9" fillId="0" borderId="1" xfId="33" applyNumberFormat="1" applyFont="1" applyBorder="1" applyAlignment="1">
      <alignment horizontal="right"/>
      <protection/>
    </xf>
    <xf numFmtId="210" fontId="10" fillId="0" borderId="1" xfId="33" applyNumberFormat="1" applyFont="1" applyBorder="1" applyAlignment="1">
      <alignment horizontal="right"/>
      <protection/>
    </xf>
    <xf numFmtId="210" fontId="10" fillId="0" borderId="1" xfId="33" applyNumberFormat="1" applyFont="1" applyFill="1" applyBorder="1" applyAlignment="1">
      <alignment horizontal="right"/>
      <protection/>
    </xf>
    <xf numFmtId="0" fontId="10" fillId="0" borderId="1" xfId="33" applyFont="1" applyFill="1" applyBorder="1" applyAlignment="1">
      <alignment horizontal="right"/>
      <protection/>
    </xf>
    <xf numFmtId="0" fontId="9" fillId="0" borderId="1" xfId="33" applyFont="1" applyBorder="1" applyAlignment="1">
      <alignment horizontal="right"/>
      <protection/>
    </xf>
    <xf numFmtId="0" fontId="9" fillId="0" borderId="0" xfId="31" applyFont="1" applyFill="1" applyAlignment="1">
      <alignment wrapText="1"/>
      <protection/>
    </xf>
    <xf numFmtId="0" fontId="10" fillId="0" borderId="0" xfId="32" applyFont="1" quotePrefix="1">
      <alignment/>
      <protection/>
    </xf>
    <xf numFmtId="179" fontId="6" fillId="0" borderId="13" xfId="19" applyNumberFormat="1" applyFont="1" applyFill="1" applyBorder="1" applyAlignment="1">
      <alignment/>
    </xf>
    <xf numFmtId="0" fontId="10" fillId="0" borderId="0" xfId="22" applyFont="1" applyBorder="1" applyAlignment="1">
      <alignment horizontal="left"/>
      <protection/>
    </xf>
    <xf numFmtId="0" fontId="6" fillId="0" borderId="0" xfId="26" applyFont="1" applyFill="1" applyBorder="1">
      <alignment/>
      <protection/>
    </xf>
    <xf numFmtId="0" fontId="6" fillId="0" borderId="3" xfId="26" applyFont="1" applyFill="1" applyBorder="1">
      <alignment/>
      <protection/>
    </xf>
    <xf numFmtId="0" fontId="4" fillId="0" borderId="0" xfId="26" applyFill="1">
      <alignment/>
      <protection/>
    </xf>
    <xf numFmtId="3" fontId="6" fillId="0" borderId="13" xfId="26" applyNumberFormat="1" applyFont="1" applyFill="1" applyBorder="1" applyProtection="1">
      <alignment/>
      <protection locked="0"/>
    </xf>
    <xf numFmtId="0" fontId="6" fillId="0" borderId="2" xfId="26" applyFont="1" applyFill="1" applyBorder="1" applyAlignment="1">
      <alignment horizontal="left"/>
      <protection/>
    </xf>
    <xf numFmtId="0" fontId="10" fillId="0" borderId="2" xfId="29" applyFont="1" applyBorder="1">
      <alignment/>
      <protection/>
    </xf>
    <xf numFmtId="1" fontId="9" fillId="0" borderId="0" xfId="22" applyNumberFormat="1" applyFont="1" applyAlignment="1">
      <alignment horizontal="center"/>
      <protection/>
    </xf>
    <xf numFmtId="0" fontId="9" fillId="0" borderId="0" xfId="22" applyFont="1" applyAlignment="1">
      <alignment horizontal="center"/>
      <protection/>
    </xf>
    <xf numFmtId="0" fontId="9" fillId="0" borderId="1" xfId="22" applyFont="1" applyBorder="1" applyAlignment="1">
      <alignment horizontal="center"/>
      <protection/>
    </xf>
    <xf numFmtId="0" fontId="10" fillId="0" borderId="2" xfId="32" applyFont="1" applyFill="1" applyBorder="1">
      <alignment/>
      <protection/>
    </xf>
    <xf numFmtId="0" fontId="10" fillId="0" borderId="0" xfId="32" applyFont="1" applyFill="1">
      <alignment/>
      <protection/>
    </xf>
    <xf numFmtId="0" fontId="9" fillId="0" borderId="0" xfId="32" applyFont="1" applyFill="1">
      <alignment/>
      <protection/>
    </xf>
    <xf numFmtId="180" fontId="9" fillId="0" borderId="1" xfId="32" applyNumberFormat="1" applyFont="1" applyFill="1" applyBorder="1">
      <alignment/>
      <protection/>
    </xf>
    <xf numFmtId="0" fontId="9" fillId="0" borderId="1" xfId="32" applyFont="1" applyFill="1" applyBorder="1">
      <alignment/>
      <protection/>
    </xf>
    <xf numFmtId="0" fontId="10" fillId="0" borderId="2" xfId="32" applyFont="1" applyFill="1" applyBorder="1" applyAlignment="1">
      <alignment horizontal="left"/>
      <protection/>
    </xf>
    <xf numFmtId="180" fontId="10" fillId="0" borderId="1" xfId="32" applyNumberFormat="1" applyFont="1" applyFill="1" applyBorder="1">
      <alignment/>
      <protection/>
    </xf>
    <xf numFmtId="0" fontId="10" fillId="0" borderId="4" xfId="32" applyFont="1" applyFill="1" applyBorder="1">
      <alignment/>
      <protection/>
    </xf>
    <xf numFmtId="0" fontId="10" fillId="0" borderId="5" xfId="32" applyFont="1" applyFill="1" applyBorder="1">
      <alignment/>
      <protection/>
    </xf>
    <xf numFmtId="0" fontId="9" fillId="0" borderId="5" xfId="32" applyFont="1" applyFill="1" applyBorder="1">
      <alignment/>
      <protection/>
    </xf>
    <xf numFmtId="180" fontId="9" fillId="0" borderId="7" xfId="32" applyNumberFormat="1" applyFont="1" applyFill="1" applyBorder="1">
      <alignment/>
      <protection/>
    </xf>
    <xf numFmtId="0" fontId="9" fillId="0" borderId="7" xfId="32" applyFont="1" applyFill="1" applyBorder="1">
      <alignment/>
      <protection/>
    </xf>
    <xf numFmtId="0" fontId="9" fillId="0" borderId="0" xfId="22" applyFont="1" applyBorder="1" applyAlignment="1" quotePrefix="1">
      <alignment horizontal="left"/>
      <protection/>
    </xf>
    <xf numFmtId="0" fontId="10" fillId="0" borderId="0" xfId="23" applyFont="1" applyBorder="1" applyAlignment="1">
      <alignment horizontal="left"/>
      <protection/>
    </xf>
    <xf numFmtId="181" fontId="10" fillId="0" borderId="1" xfId="22" applyNumberFormat="1" applyFont="1" applyBorder="1">
      <alignment/>
      <protection/>
    </xf>
    <xf numFmtId="181" fontId="9" fillId="0" borderId="1" xfId="22" applyNumberFormat="1" applyFont="1" applyBorder="1">
      <alignment/>
      <protection/>
    </xf>
    <xf numFmtId="0" fontId="21" fillId="0" borderId="5" xfId="26" applyFont="1" applyBorder="1" applyAlignment="1">
      <alignment horizontal="left"/>
      <protection/>
    </xf>
    <xf numFmtId="179" fontId="7" fillId="0" borderId="1" xfId="19" applyNumberFormat="1" applyFont="1" applyFill="1" applyBorder="1" applyAlignment="1" applyProtection="1">
      <alignment/>
      <protection locked="0"/>
    </xf>
    <xf numFmtId="3" fontId="9" fillId="0" borderId="1" xfId="28" applyNumberFormat="1" applyFont="1" applyBorder="1">
      <alignment/>
      <protection/>
    </xf>
    <xf numFmtId="3" fontId="10" fillId="0" borderId="1" xfId="28" applyNumberFormat="1" applyFont="1" applyBorder="1">
      <alignment/>
      <protection/>
    </xf>
    <xf numFmtId="3" fontId="9" fillId="0" borderId="1" xfId="28" applyNumberFormat="1" applyFont="1" applyBorder="1" applyAlignment="1" quotePrefix="1">
      <alignment horizontal="right"/>
      <protection/>
    </xf>
    <xf numFmtId="180" fontId="13" fillId="0" borderId="1" xfId="28" applyNumberFormat="1" applyFont="1" applyBorder="1" applyAlignment="1" quotePrefix="1">
      <alignment horizontal="right"/>
      <protection/>
    </xf>
    <xf numFmtId="180" fontId="14" fillId="0" borderId="1" xfId="28" applyNumberFormat="1" applyFont="1" applyBorder="1">
      <alignment/>
      <protection/>
    </xf>
    <xf numFmtId="3" fontId="13" fillId="0" borderId="1" xfId="28" applyNumberFormat="1" applyFont="1" applyBorder="1" applyAlignment="1" quotePrefix="1">
      <alignment horizontal="right"/>
      <protection/>
    </xf>
    <xf numFmtId="3" fontId="9" fillId="0" borderId="1" xfId="29" applyNumberFormat="1" applyFont="1" applyFill="1" applyBorder="1">
      <alignment/>
      <protection/>
    </xf>
    <xf numFmtId="3" fontId="9" fillId="0" borderId="2" xfId="29" applyNumberFormat="1" applyFont="1" applyBorder="1">
      <alignment/>
      <protection/>
    </xf>
    <xf numFmtId="181" fontId="10" fillId="0" borderId="1" xfId="22" applyNumberFormat="1" applyFont="1" applyBorder="1" applyAlignment="1">
      <alignment horizontal="right"/>
      <protection/>
    </xf>
    <xf numFmtId="3" fontId="6" fillId="0" borderId="1" xfId="26" applyNumberFormat="1" applyFont="1" applyBorder="1" applyProtection="1">
      <alignment/>
      <protection locked="0"/>
    </xf>
    <xf numFmtId="181" fontId="9" fillId="0" borderId="0" xfId="23" applyNumberFormat="1" applyFont="1">
      <alignment/>
      <protection/>
    </xf>
    <xf numFmtId="0" fontId="9" fillId="3" borderId="0" xfId="22" applyFont="1" applyFill="1" applyBorder="1" applyAlignment="1">
      <alignment horizontal="center"/>
      <protection/>
    </xf>
    <xf numFmtId="0" fontId="9" fillId="3" borderId="0" xfId="22" applyFont="1" applyFill="1" applyBorder="1">
      <alignment/>
      <protection/>
    </xf>
    <xf numFmtId="0" fontId="10" fillId="3" borderId="0" xfId="22" applyFont="1" applyFill="1" applyBorder="1" applyAlignment="1">
      <alignment/>
      <protection/>
    </xf>
    <xf numFmtId="0" fontId="9" fillId="3" borderId="0" xfId="22" applyFont="1" applyFill="1" applyBorder="1" applyAlignment="1">
      <alignment horizontal="centerContinuous"/>
      <protection/>
    </xf>
    <xf numFmtId="0" fontId="26" fillId="3" borderId="0" xfId="22" applyFont="1" applyFill="1" applyBorder="1" applyAlignment="1">
      <alignment horizontal="center"/>
      <protection/>
    </xf>
    <xf numFmtId="0" fontId="27" fillId="0" borderId="1" xfId="22" applyFont="1" applyBorder="1" applyAlignment="1" quotePrefix="1">
      <alignment horizontal="center"/>
      <protection/>
    </xf>
    <xf numFmtId="0" fontId="27" fillId="0" borderId="1" xfId="22" applyFont="1" applyBorder="1" applyAlignment="1">
      <alignment horizontal="center"/>
      <protection/>
    </xf>
    <xf numFmtId="0" fontId="27" fillId="0" borderId="7" xfId="22" applyFont="1" applyBorder="1" applyAlignment="1">
      <alignment horizontal="center"/>
      <protection/>
    </xf>
    <xf numFmtId="0" fontId="10" fillId="0" borderId="14" xfId="22" applyFont="1" applyBorder="1" applyAlignment="1">
      <alignment/>
      <protection/>
    </xf>
    <xf numFmtId="0" fontId="10" fillId="0" borderId="3" xfId="22" applyFont="1" applyBorder="1" applyAlignment="1">
      <alignment horizontal="centerContinuous"/>
      <protection/>
    </xf>
    <xf numFmtId="0" fontId="10" fillId="0" borderId="1" xfId="22" applyFont="1" applyBorder="1">
      <alignment/>
      <protection/>
    </xf>
    <xf numFmtId="0" fontId="27" fillId="0" borderId="2" xfId="22" applyFont="1" applyBorder="1" applyAlignment="1">
      <alignment horizontal="center"/>
      <protection/>
    </xf>
    <xf numFmtId="0" fontId="25" fillId="3" borderId="15" xfId="22" applyFont="1" applyFill="1" applyBorder="1">
      <alignment/>
      <protection/>
    </xf>
    <xf numFmtId="0" fontId="30" fillId="3" borderId="15" xfId="22" applyFont="1" applyFill="1" applyBorder="1">
      <alignment/>
      <protection/>
    </xf>
    <xf numFmtId="0" fontId="10" fillId="3" borderId="16" xfId="22" applyFont="1" applyFill="1" applyBorder="1">
      <alignment/>
      <protection/>
    </xf>
    <xf numFmtId="0" fontId="10" fillId="0" borderId="0" xfId="22" applyFont="1" applyBorder="1" quotePrefix="1">
      <alignment/>
      <protection/>
    </xf>
    <xf numFmtId="0" fontId="10" fillId="0" borderId="3" xfId="22" applyFont="1" applyBorder="1" applyAlignment="1">
      <alignment horizontal="right"/>
      <protection/>
    </xf>
    <xf numFmtId="183" fontId="10" fillId="0" borderId="0" xfId="22" applyNumberFormat="1" applyFont="1" applyBorder="1">
      <alignment/>
      <protection/>
    </xf>
    <xf numFmtId="183" fontId="9" fillId="0" borderId="0" xfId="22" applyNumberFormat="1" applyFont="1" applyBorder="1">
      <alignment/>
      <protection/>
    </xf>
    <xf numFmtId="183" fontId="10" fillId="0" borderId="0" xfId="22" applyNumberFormat="1" applyFont="1" applyBorder="1" applyAlignment="1">
      <alignment horizontal="right"/>
      <protection/>
    </xf>
    <xf numFmtId="3" fontId="10" fillId="0" borderId="0" xfId="22" applyNumberFormat="1" applyFont="1" applyBorder="1">
      <alignment/>
      <protection/>
    </xf>
    <xf numFmtId="0" fontId="30" fillId="3" borderId="0" xfId="23" applyFont="1" applyFill="1" applyBorder="1">
      <alignment/>
      <protection/>
    </xf>
    <xf numFmtId="0" fontId="25" fillId="3" borderId="0" xfId="23" applyFont="1" applyFill="1" applyBorder="1" applyAlignment="1">
      <alignment/>
      <protection/>
    </xf>
    <xf numFmtId="0" fontId="30" fillId="3" borderId="0" xfId="23" applyFont="1" applyFill="1" applyBorder="1" applyAlignment="1">
      <alignment horizontal="centerContinuous"/>
      <protection/>
    </xf>
    <xf numFmtId="0" fontId="27" fillId="0" borderId="1" xfId="23" applyFont="1" applyBorder="1">
      <alignment/>
      <protection/>
    </xf>
    <xf numFmtId="0" fontId="27" fillId="0" borderId="1" xfId="23" applyFont="1" applyBorder="1" applyAlignment="1" quotePrefix="1">
      <alignment horizontal="center"/>
      <protection/>
    </xf>
    <xf numFmtId="0" fontId="27" fillId="0" borderId="1" xfId="23" applyFont="1" applyBorder="1" applyAlignment="1">
      <alignment horizontal="centerContinuous"/>
      <protection/>
    </xf>
    <xf numFmtId="0" fontId="27" fillId="0" borderId="1" xfId="23" applyFont="1" applyBorder="1" applyAlignment="1">
      <alignment horizontal="left"/>
      <protection/>
    </xf>
    <xf numFmtId="0" fontId="27" fillId="0" borderId="7" xfId="23" applyFont="1" applyBorder="1">
      <alignment/>
      <protection/>
    </xf>
    <xf numFmtId="0" fontId="27" fillId="0" borderId="2" xfId="23" applyFont="1" applyBorder="1">
      <alignment/>
      <protection/>
    </xf>
    <xf numFmtId="0" fontId="26" fillId="3" borderId="0" xfId="23" applyFont="1" applyFill="1" applyBorder="1" applyAlignment="1">
      <alignment horizontal="center"/>
      <protection/>
    </xf>
    <xf numFmtId="187" fontId="10" fillId="0" borderId="11" xfId="24" applyNumberFormat="1" applyFont="1" applyBorder="1">
      <alignment/>
      <protection/>
    </xf>
    <xf numFmtId="187" fontId="10" fillId="0" borderId="17" xfId="24" applyNumberFormat="1" applyFont="1" applyBorder="1">
      <alignment/>
      <protection/>
    </xf>
    <xf numFmtId="187" fontId="9" fillId="0" borderId="18" xfId="24" applyNumberFormat="1" applyFont="1" applyBorder="1" applyAlignment="1">
      <alignment vertical="top"/>
      <protection/>
    </xf>
    <xf numFmtId="187" fontId="9" fillId="0" borderId="11" xfId="24" applyNumberFormat="1" applyFont="1" applyBorder="1" applyAlignment="1">
      <alignment vertical="top"/>
      <protection/>
    </xf>
    <xf numFmtId="187" fontId="17" fillId="0" borderId="11" xfId="24" applyNumberFormat="1" applyFont="1" applyBorder="1">
      <alignment/>
      <protection/>
    </xf>
    <xf numFmtId="187" fontId="13" fillId="0" borderId="11" xfId="24" applyNumberFormat="1" applyFont="1" applyBorder="1">
      <alignment/>
      <protection/>
    </xf>
    <xf numFmtId="187" fontId="10" fillId="0" borderId="19" xfId="24" applyNumberFormat="1" applyFont="1" applyBorder="1">
      <alignment/>
      <protection/>
    </xf>
    <xf numFmtId="187" fontId="9" fillId="0" borderId="20" xfId="24" applyNumberFormat="1" applyFont="1" applyBorder="1">
      <alignment/>
      <protection/>
    </xf>
    <xf numFmtId="181" fontId="9" fillId="0" borderId="20" xfId="24" applyNumberFormat="1" applyFont="1" applyBorder="1">
      <alignment/>
      <protection/>
    </xf>
    <xf numFmtId="181" fontId="9" fillId="0" borderId="20" xfId="24" applyNumberFormat="1" applyFont="1" applyBorder="1" applyProtection="1">
      <alignment/>
      <protection locked="0"/>
    </xf>
    <xf numFmtId="0" fontId="9" fillId="0" borderId="0" xfId="24" applyFont="1" applyBorder="1">
      <alignment/>
      <protection/>
    </xf>
    <xf numFmtId="187" fontId="9" fillId="0" borderId="19" xfId="24" applyNumberFormat="1" applyFont="1" applyBorder="1" applyAlignment="1">
      <alignment vertical="top"/>
      <protection/>
    </xf>
    <xf numFmtId="187" fontId="9" fillId="0" borderId="21" xfId="24" applyNumberFormat="1" applyFont="1" applyBorder="1">
      <alignment/>
      <protection/>
    </xf>
    <xf numFmtId="187" fontId="9" fillId="0" borderId="22" xfId="24" applyNumberFormat="1" applyFont="1" applyBorder="1">
      <alignment/>
      <protection/>
    </xf>
    <xf numFmtId="187" fontId="9" fillId="0" borderId="23" xfId="24" applyNumberFormat="1" applyFont="1" applyBorder="1">
      <alignment/>
      <protection/>
    </xf>
    <xf numFmtId="187" fontId="9" fillId="0" borderId="24" xfId="24" applyNumberFormat="1" applyFont="1" applyBorder="1">
      <alignment/>
      <protection/>
    </xf>
    <xf numFmtId="187" fontId="9" fillId="0" borderId="25" xfId="24" applyNumberFormat="1" applyFont="1" applyBorder="1">
      <alignment/>
      <protection/>
    </xf>
    <xf numFmtId="0" fontId="31" fillId="0" borderId="26" xfId="25" applyFont="1" applyBorder="1" applyAlignment="1">
      <alignment horizontal="center"/>
      <protection/>
    </xf>
    <xf numFmtId="0" fontId="31" fillId="0" borderId="26" xfId="25" applyFont="1" applyBorder="1">
      <alignment/>
      <protection/>
    </xf>
    <xf numFmtId="0" fontId="31" fillId="0" borderId="27" xfId="25" applyFont="1" applyBorder="1" applyAlignment="1" quotePrefix="1">
      <alignment horizontal="center"/>
      <protection/>
    </xf>
    <xf numFmtId="0" fontId="5" fillId="0" borderId="0" xfId="26" applyFont="1" applyBorder="1">
      <alignment/>
      <protection/>
    </xf>
    <xf numFmtId="0" fontId="5" fillId="0" borderId="2" xfId="26" applyFont="1" applyBorder="1">
      <alignment/>
      <protection/>
    </xf>
    <xf numFmtId="0" fontId="5" fillId="0" borderId="3" xfId="26" applyFont="1" applyBorder="1">
      <alignment/>
      <protection/>
    </xf>
    <xf numFmtId="0" fontId="31" fillId="0" borderId="28" xfId="26" applyFont="1" applyBorder="1" applyAlignment="1">
      <alignment horizontal="center"/>
      <protection/>
    </xf>
    <xf numFmtId="0" fontId="31" fillId="0" borderId="28" xfId="26" applyFont="1" applyBorder="1">
      <alignment/>
      <protection/>
    </xf>
    <xf numFmtId="0" fontId="31" fillId="0" borderId="29" xfId="26" applyFont="1" applyBorder="1" applyAlignment="1" quotePrefix="1">
      <alignment horizontal="center"/>
      <protection/>
    </xf>
    <xf numFmtId="0" fontId="31" fillId="0" borderId="0" xfId="26" applyFont="1" applyBorder="1" applyAlignment="1">
      <alignment horizontal="left"/>
      <protection/>
    </xf>
    <xf numFmtId="181" fontId="31" fillId="0" borderId="0" xfId="26" applyNumberFormat="1" applyFont="1">
      <alignment/>
      <protection/>
    </xf>
    <xf numFmtId="0" fontId="31" fillId="0" borderId="0" xfId="26" applyFont="1">
      <alignment/>
      <protection/>
    </xf>
    <xf numFmtId="0" fontId="26" fillId="3" borderId="0" xfId="33" applyFont="1" applyFill="1" applyBorder="1" applyAlignment="1">
      <alignment vertical="center"/>
      <protection/>
    </xf>
    <xf numFmtId="3" fontId="32" fillId="3" borderId="0" xfId="33" applyNumberFormat="1" applyFont="1" applyFill="1" applyBorder="1" applyAlignment="1">
      <alignment vertical="center"/>
      <protection/>
    </xf>
    <xf numFmtId="0" fontId="32" fillId="3" borderId="0" xfId="33" applyFont="1" applyFill="1" applyBorder="1" applyAlignment="1">
      <alignment vertical="center"/>
      <protection/>
    </xf>
    <xf numFmtId="3" fontId="10" fillId="4" borderId="30" xfId="33" applyNumberFormat="1" applyFont="1" applyFill="1" applyBorder="1">
      <alignment/>
      <protection/>
    </xf>
    <xf numFmtId="0" fontId="9" fillId="4" borderId="31" xfId="33" applyFont="1" applyFill="1" applyBorder="1">
      <alignment/>
      <protection/>
    </xf>
    <xf numFmtId="0" fontId="31" fillId="0" borderId="0" xfId="28" applyFont="1" applyBorder="1" applyAlignment="1">
      <alignment horizontal="center"/>
      <protection/>
    </xf>
    <xf numFmtId="0" fontId="9" fillId="0" borderId="3" xfId="28" applyFont="1" applyBorder="1">
      <alignment/>
      <protection/>
    </xf>
    <xf numFmtId="0" fontId="31" fillId="0" borderId="32" xfId="28" applyFont="1" applyBorder="1" applyAlignment="1">
      <alignment horizontal="center"/>
      <protection/>
    </xf>
    <xf numFmtId="0" fontId="31" fillId="0" borderId="33" xfId="28" applyFont="1" applyBorder="1" applyAlignment="1">
      <alignment horizontal="center"/>
      <protection/>
    </xf>
    <xf numFmtId="0" fontId="31" fillId="0" borderId="31" xfId="28" applyFont="1" applyBorder="1" applyAlignment="1">
      <alignment horizontal="center"/>
      <protection/>
    </xf>
    <xf numFmtId="0" fontId="31" fillId="0" borderId="24" xfId="28" applyFont="1" applyBorder="1" applyAlignment="1">
      <alignment horizontal="center"/>
      <protection/>
    </xf>
    <xf numFmtId="0" fontId="31" fillId="0" borderId="30" xfId="28" applyFont="1" applyBorder="1" applyAlignment="1">
      <alignment horizontal="center"/>
      <protection/>
    </xf>
    <xf numFmtId="0" fontId="31" fillId="0" borderId="32" xfId="28" applyFont="1" applyBorder="1" applyAlignment="1">
      <alignment horizontal="centerContinuous"/>
      <protection/>
    </xf>
    <xf numFmtId="0" fontId="31" fillId="0" borderId="33" xfId="28" applyFont="1" applyBorder="1" applyAlignment="1" quotePrefix="1">
      <alignment horizontal="center"/>
      <protection/>
    </xf>
    <xf numFmtId="3" fontId="10" fillId="4" borderId="32" xfId="28" applyNumberFormat="1" applyFont="1" applyFill="1" applyBorder="1">
      <alignment/>
      <protection/>
    </xf>
    <xf numFmtId="3" fontId="10" fillId="4" borderId="31" xfId="28" applyNumberFormat="1" applyFont="1" applyFill="1" applyBorder="1">
      <alignment/>
      <protection/>
    </xf>
    <xf numFmtId="180" fontId="10" fillId="4" borderId="31" xfId="28" applyNumberFormat="1" applyFont="1" applyFill="1" applyBorder="1">
      <alignment/>
      <protection/>
    </xf>
    <xf numFmtId="0" fontId="9" fillId="4" borderId="34" xfId="28" applyFont="1" applyFill="1" applyBorder="1">
      <alignment/>
      <protection/>
    </xf>
    <xf numFmtId="0" fontId="10" fillId="4" borderId="24" xfId="28" applyFont="1" applyFill="1" applyBorder="1" applyAlignment="1">
      <alignment horizontal="left"/>
      <protection/>
    </xf>
    <xf numFmtId="0" fontId="11" fillId="4" borderId="24" xfId="28" applyFont="1" applyFill="1" applyBorder="1" applyAlignment="1">
      <alignment/>
      <protection/>
    </xf>
    <xf numFmtId="0" fontId="11" fillId="4" borderId="23" xfId="28" applyFont="1" applyFill="1" applyBorder="1" applyAlignment="1">
      <alignment/>
      <protection/>
    </xf>
    <xf numFmtId="0" fontId="9" fillId="4" borderId="35" xfId="28" applyFont="1" applyFill="1" applyBorder="1">
      <alignment/>
      <protection/>
    </xf>
    <xf numFmtId="0" fontId="7" fillId="4" borderId="30" xfId="25" applyFont="1" applyFill="1" applyBorder="1">
      <alignment/>
      <protection/>
    </xf>
    <xf numFmtId="0" fontId="11" fillId="4" borderId="30" xfId="28" applyFont="1" applyFill="1" applyBorder="1">
      <alignment/>
      <protection/>
    </xf>
    <xf numFmtId="0" fontId="11" fillId="4" borderId="36" xfId="28" applyFont="1" applyFill="1" applyBorder="1">
      <alignment/>
      <protection/>
    </xf>
    <xf numFmtId="0" fontId="28" fillId="0" borderId="0" xfId="28" applyFont="1">
      <alignment/>
      <protection/>
    </xf>
    <xf numFmtId="180" fontId="28" fillId="0" borderId="0" xfId="28" applyNumberFormat="1" applyFont="1">
      <alignment/>
      <protection/>
    </xf>
    <xf numFmtId="0" fontId="6" fillId="0" borderId="0" xfId="29" applyFont="1" applyFill="1" applyBorder="1" applyAlignment="1">
      <alignment horizontal="left"/>
      <protection/>
    </xf>
    <xf numFmtId="0" fontId="6" fillId="0" borderId="0" xfId="29" applyFont="1" applyFill="1" applyBorder="1" applyAlignment="1">
      <alignment horizontal="center"/>
      <protection/>
    </xf>
    <xf numFmtId="0" fontId="10" fillId="4" borderId="34" xfId="29" applyFont="1" applyFill="1" applyBorder="1">
      <alignment/>
      <protection/>
    </xf>
    <xf numFmtId="0" fontId="10" fillId="4" borderId="24" xfId="29" applyFont="1" applyFill="1" applyBorder="1">
      <alignment/>
      <protection/>
    </xf>
    <xf numFmtId="0" fontId="10" fillId="4" borderId="23" xfId="29" applyFont="1" applyFill="1" applyBorder="1">
      <alignment/>
      <protection/>
    </xf>
    <xf numFmtId="3" fontId="9" fillId="4" borderId="24" xfId="29" applyNumberFormat="1" applyFont="1" applyFill="1" applyBorder="1">
      <alignment/>
      <protection/>
    </xf>
    <xf numFmtId="3" fontId="10" fillId="4" borderId="32" xfId="29" applyNumberFormat="1" applyFont="1" applyFill="1" applyBorder="1">
      <alignment/>
      <protection/>
    </xf>
    <xf numFmtId="3" fontId="10" fillId="4" borderId="24" xfId="29" applyNumberFormat="1" applyFont="1" applyFill="1" applyBorder="1">
      <alignment/>
      <protection/>
    </xf>
    <xf numFmtId="3" fontId="10" fillId="4" borderId="23" xfId="29" applyNumberFormat="1" applyFont="1" applyFill="1" applyBorder="1">
      <alignment/>
      <protection/>
    </xf>
    <xf numFmtId="0" fontId="10" fillId="4" borderId="37" xfId="29" applyFont="1" applyFill="1" applyBorder="1">
      <alignment/>
      <protection/>
    </xf>
    <xf numFmtId="0" fontId="10" fillId="4" borderId="0" xfId="29" applyFont="1" applyFill="1" applyBorder="1">
      <alignment/>
      <protection/>
    </xf>
    <xf numFmtId="0" fontId="10" fillId="4" borderId="11" xfId="29" applyFont="1" applyFill="1" applyBorder="1">
      <alignment/>
      <protection/>
    </xf>
    <xf numFmtId="3" fontId="10" fillId="4" borderId="0" xfId="29" applyNumberFormat="1" applyFont="1" applyFill="1" applyBorder="1">
      <alignment/>
      <protection/>
    </xf>
    <xf numFmtId="3" fontId="10" fillId="4" borderId="33" xfId="29" applyNumberFormat="1" applyFont="1" applyFill="1" applyBorder="1">
      <alignment/>
      <protection/>
    </xf>
    <xf numFmtId="3" fontId="10" fillId="4" borderId="11" xfId="29" applyNumberFormat="1" applyFont="1" applyFill="1" applyBorder="1">
      <alignment/>
      <protection/>
    </xf>
    <xf numFmtId="0" fontId="10" fillId="4" borderId="35" xfId="29" applyFont="1" applyFill="1" applyBorder="1">
      <alignment/>
      <protection/>
    </xf>
    <xf numFmtId="0" fontId="10" fillId="4" borderId="30" xfId="29" applyFont="1" applyFill="1" applyBorder="1">
      <alignment/>
      <protection/>
    </xf>
    <xf numFmtId="0" fontId="10" fillId="4" borderId="36" xfId="29" applyFont="1" applyFill="1" applyBorder="1">
      <alignment/>
      <protection/>
    </xf>
    <xf numFmtId="3" fontId="10" fillId="4" borderId="30" xfId="29" applyNumberFormat="1" applyFont="1" applyFill="1" applyBorder="1">
      <alignment/>
      <protection/>
    </xf>
    <xf numFmtId="3" fontId="10" fillId="4" borderId="31" xfId="29" applyNumberFormat="1" applyFont="1" applyFill="1" applyBorder="1">
      <alignment/>
      <protection/>
    </xf>
    <xf numFmtId="3" fontId="10" fillId="4" borderId="36" xfId="29" applyNumberFormat="1" applyFont="1" applyFill="1" applyBorder="1">
      <alignment/>
      <protection/>
    </xf>
    <xf numFmtId="0" fontId="10" fillId="4" borderId="34" xfId="30" applyFont="1" applyFill="1" applyBorder="1">
      <alignment/>
      <protection/>
    </xf>
    <xf numFmtId="0" fontId="10" fillId="4" borderId="24" xfId="30" applyFont="1" applyFill="1" applyBorder="1">
      <alignment/>
      <protection/>
    </xf>
    <xf numFmtId="0" fontId="10" fillId="4" borderId="35" xfId="30" applyFont="1" applyFill="1" applyBorder="1">
      <alignment/>
      <protection/>
    </xf>
    <xf numFmtId="0" fontId="9" fillId="4" borderId="30" xfId="30" applyFont="1" applyFill="1" applyBorder="1">
      <alignment/>
      <protection/>
    </xf>
    <xf numFmtId="0" fontId="10" fillId="4" borderId="30" xfId="30" applyFont="1" applyFill="1" applyBorder="1">
      <alignment/>
      <protection/>
    </xf>
    <xf numFmtId="0" fontId="9" fillId="0" borderId="1" xfId="30" applyFont="1" applyBorder="1">
      <alignment/>
      <protection/>
    </xf>
    <xf numFmtId="0" fontId="29" fillId="0" borderId="16" xfId="30" applyFont="1" applyBorder="1" applyAlignment="1">
      <alignment horizontal="left" vertical="center"/>
      <protection/>
    </xf>
    <xf numFmtId="0" fontId="29" fillId="0" borderId="15" xfId="30" applyFont="1" applyBorder="1" applyAlignment="1">
      <alignment horizontal="left" vertical="center"/>
      <protection/>
    </xf>
    <xf numFmtId="0" fontId="29" fillId="0" borderId="38" xfId="30" applyFont="1" applyBorder="1" applyAlignment="1">
      <alignment horizontal="center" vertical="center"/>
      <protection/>
    </xf>
    <xf numFmtId="180" fontId="9" fillId="4" borderId="32" xfId="30" applyNumberFormat="1" applyFont="1" applyFill="1" applyBorder="1">
      <alignment/>
      <protection/>
    </xf>
    <xf numFmtId="180" fontId="10" fillId="4" borderId="33" xfId="30" applyNumberFormat="1" applyFont="1" applyFill="1" applyBorder="1">
      <alignment/>
      <protection/>
    </xf>
    <xf numFmtId="180" fontId="9" fillId="4" borderId="31" xfId="30" applyNumberFormat="1" applyFont="1" applyFill="1" applyBorder="1">
      <alignment/>
      <protection/>
    </xf>
    <xf numFmtId="180" fontId="9" fillId="4" borderId="24" xfId="30" applyNumberFormat="1" applyFont="1" applyFill="1" applyBorder="1">
      <alignment/>
      <protection/>
    </xf>
    <xf numFmtId="180" fontId="10" fillId="4" borderId="0" xfId="30" applyNumberFormat="1" applyFont="1" applyFill="1" applyBorder="1">
      <alignment/>
      <protection/>
    </xf>
    <xf numFmtId="180" fontId="9" fillId="4" borderId="30" xfId="30" applyNumberFormat="1" applyFont="1" applyFill="1" applyBorder="1">
      <alignment/>
      <protection/>
    </xf>
    <xf numFmtId="0" fontId="32" fillId="3" borderId="0" xfId="33" applyFont="1" applyFill="1" applyBorder="1" applyAlignment="1">
      <alignment horizontal="right" vertical="center"/>
      <protection/>
    </xf>
    <xf numFmtId="3" fontId="31" fillId="0" borderId="38" xfId="33" applyNumberFormat="1" applyFont="1" applyFill="1" applyBorder="1" applyAlignment="1">
      <alignment horizontal="center" vertical="center" wrapText="1"/>
      <protection/>
    </xf>
    <xf numFmtId="3" fontId="31" fillId="0" borderId="15" xfId="33" applyNumberFormat="1" applyFont="1" applyFill="1" applyBorder="1" applyAlignment="1">
      <alignment horizontal="center" vertical="center" wrapText="1"/>
      <protection/>
    </xf>
    <xf numFmtId="0" fontId="31" fillId="0" borderId="38" xfId="33" applyFont="1" applyFill="1" applyBorder="1" applyAlignment="1">
      <alignment horizontal="center" vertical="center" wrapText="1"/>
      <protection/>
    </xf>
    <xf numFmtId="3" fontId="10" fillId="4" borderId="11" xfId="33" applyNumberFormat="1" applyFont="1" applyFill="1" applyBorder="1" applyAlignment="1">
      <alignment horizontal="right"/>
      <protection/>
    </xf>
    <xf numFmtId="3" fontId="9" fillId="4" borderId="32" xfId="33" applyNumberFormat="1" applyFont="1" applyFill="1" applyBorder="1" applyAlignment="1">
      <alignment horizontal="right"/>
      <protection/>
    </xf>
    <xf numFmtId="213" fontId="10" fillId="4" borderId="33" xfId="33" applyNumberFormat="1" applyFont="1" applyFill="1" applyBorder="1" applyAlignment="1">
      <alignment horizontal="right"/>
      <protection/>
    </xf>
    <xf numFmtId="3" fontId="10" fillId="4" borderId="0" xfId="33" applyNumberFormat="1" applyFont="1" applyFill="1" applyBorder="1" applyAlignment="1">
      <alignment horizontal="right"/>
      <protection/>
    </xf>
    <xf numFmtId="3" fontId="9" fillId="4" borderId="31" xfId="33" applyNumberFormat="1" applyFont="1" applyFill="1" applyBorder="1">
      <alignment/>
      <protection/>
    </xf>
    <xf numFmtId="0" fontId="9" fillId="4" borderId="24" xfId="33" applyFont="1" applyFill="1" applyBorder="1" applyAlignment="1">
      <alignment horizontal="right"/>
      <protection/>
    </xf>
    <xf numFmtId="0" fontId="9" fillId="4" borderId="30" xfId="33" applyFont="1" applyFill="1" applyBorder="1">
      <alignment/>
      <protection/>
    </xf>
    <xf numFmtId="3" fontId="10" fillId="4" borderId="33" xfId="33" applyNumberFormat="1" applyFont="1" applyFill="1" applyBorder="1" applyAlignment="1">
      <alignment horizontal="right"/>
      <protection/>
    </xf>
    <xf numFmtId="0" fontId="10" fillId="4" borderId="24" xfId="33" applyFont="1" applyFill="1" applyBorder="1" applyAlignment="1">
      <alignment horizontal="right"/>
      <protection/>
    </xf>
    <xf numFmtId="0" fontId="9" fillId="4" borderId="32" xfId="33" applyFont="1" applyFill="1" applyBorder="1">
      <alignment/>
      <protection/>
    </xf>
    <xf numFmtId="0" fontId="10" fillId="4" borderId="33" xfId="33" applyFont="1" applyFill="1" applyBorder="1" applyAlignment="1">
      <alignment horizontal="center"/>
      <protection/>
    </xf>
    <xf numFmtId="3" fontId="10" fillId="0" borderId="1" xfId="32" applyNumberFormat="1" applyFont="1" applyBorder="1">
      <alignment/>
      <protection/>
    </xf>
    <xf numFmtId="0" fontId="31" fillId="0" borderId="1" xfId="32" applyFont="1" applyBorder="1" applyAlignment="1">
      <alignment horizontal="center"/>
      <protection/>
    </xf>
    <xf numFmtId="0" fontId="31" fillId="0" borderId="0" xfId="32" applyFont="1" applyBorder="1" applyAlignment="1">
      <alignment horizontal="center"/>
      <protection/>
    </xf>
    <xf numFmtId="0" fontId="31" fillId="0" borderId="26" xfId="32" applyFont="1" applyBorder="1" applyAlignment="1">
      <alignment horizontal="center"/>
      <protection/>
    </xf>
    <xf numFmtId="0" fontId="31" fillId="0" borderId="30" xfId="32" applyFont="1" applyBorder="1" applyAlignment="1">
      <alignment horizontal="center"/>
      <protection/>
    </xf>
    <xf numFmtId="0" fontId="31" fillId="0" borderId="2" xfId="32" applyFont="1" applyBorder="1" applyAlignment="1">
      <alignment horizontal="center"/>
      <protection/>
    </xf>
    <xf numFmtId="0" fontId="33" fillId="0" borderId="0" xfId="22" applyFont="1">
      <alignment/>
      <protection/>
    </xf>
    <xf numFmtId="187" fontId="33" fillId="0" borderId="0" xfId="24" applyNumberFormat="1" applyFont="1">
      <alignment/>
      <protection/>
    </xf>
    <xf numFmtId="0" fontId="6" fillId="0" borderId="0" xfId="23" applyFont="1" applyBorder="1" applyAlignment="1">
      <alignment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0" xfId="22" applyFont="1" applyFill="1" applyBorder="1">
      <alignment/>
      <protection/>
    </xf>
    <xf numFmtId="0" fontId="26" fillId="0" borderId="0" xfId="22" applyFont="1" applyFill="1" applyBorder="1" applyAlignment="1">
      <alignment horizontal="center"/>
      <protection/>
    </xf>
    <xf numFmtId="0" fontId="10" fillId="0" borderId="0" xfId="22" applyFont="1" applyFill="1" applyBorder="1" applyAlignment="1">
      <alignment/>
      <protection/>
    </xf>
    <xf numFmtId="0" fontId="9" fillId="0" borderId="0" xfId="22" applyFont="1" applyFill="1" applyBorder="1" applyAlignment="1">
      <alignment horizontal="centerContinuous"/>
      <protection/>
    </xf>
    <xf numFmtId="0" fontId="9" fillId="0" borderId="0" xfId="22" applyFont="1" applyFill="1" applyAlignment="1">
      <alignment horizontal="centerContinuous"/>
      <protection/>
    </xf>
    <xf numFmtId="0" fontId="9" fillId="0" borderId="0" xfId="22" applyFont="1" applyFill="1">
      <alignment/>
      <protection/>
    </xf>
    <xf numFmtId="3" fontId="7" fillId="0" borderId="1" xfId="19" applyNumberFormat="1" applyFont="1" applyFill="1" applyBorder="1" applyAlignment="1" quotePrefix="1">
      <alignment horizontal="right"/>
    </xf>
    <xf numFmtId="179" fontId="7" fillId="0" borderId="1" xfId="19" applyNumberFormat="1" applyFont="1" applyBorder="1" applyAlignment="1">
      <alignment/>
    </xf>
    <xf numFmtId="179" fontId="21" fillId="0" borderId="3" xfId="19" applyNumberFormat="1" applyFont="1" applyBorder="1" applyAlignment="1">
      <alignment/>
    </xf>
    <xf numFmtId="0" fontId="26" fillId="0" borderId="0" xfId="26" applyFont="1" applyFill="1" applyBorder="1" applyAlignment="1" quotePrefix="1">
      <alignment horizontal="left"/>
      <protection/>
    </xf>
    <xf numFmtId="3" fontId="5" fillId="0" borderId="6" xfId="26" applyNumberFormat="1" applyFont="1" applyBorder="1" applyProtection="1">
      <alignment/>
      <protection locked="0"/>
    </xf>
    <xf numFmtId="0" fontId="29" fillId="0" borderId="16" xfId="33" applyFont="1" applyFill="1" applyBorder="1" applyAlignment="1">
      <alignment horizontal="center" vertical="center" wrapText="1"/>
      <protection/>
    </xf>
    <xf numFmtId="0" fontId="31" fillId="0" borderId="39" xfId="32" applyFont="1" applyBorder="1" applyAlignment="1">
      <alignment/>
      <protection/>
    </xf>
    <xf numFmtId="0" fontId="31" fillId="0" borderId="40" xfId="32" applyFont="1" applyBorder="1" applyAlignment="1">
      <alignment horizontal="centerContinuous"/>
      <protection/>
    </xf>
    <xf numFmtId="0" fontId="31" fillId="0" borderId="41" xfId="32" applyFont="1" applyBorder="1" applyAlignment="1">
      <alignment horizontal="center"/>
      <protection/>
    </xf>
    <xf numFmtId="179" fontId="4" fillId="0" borderId="0" xfId="25" applyNumberFormat="1">
      <alignment/>
      <protection/>
    </xf>
    <xf numFmtId="3" fontId="10" fillId="0" borderId="1" xfId="23" applyNumberFormat="1" applyFont="1" applyBorder="1">
      <alignment/>
      <protection/>
    </xf>
    <xf numFmtId="3" fontId="10" fillId="0" borderId="1" xfId="23" applyNumberFormat="1" applyFont="1" applyBorder="1" applyAlignment="1">
      <alignment horizontal="center"/>
      <protection/>
    </xf>
    <xf numFmtId="3" fontId="9" fillId="0" borderId="1" xfId="23" applyNumberFormat="1" applyFont="1" applyBorder="1">
      <alignment/>
      <protection/>
    </xf>
    <xf numFmtId="3" fontId="25" fillId="3" borderId="38" xfId="23" applyNumberFormat="1" applyFont="1" applyFill="1" applyBorder="1">
      <alignment/>
      <protection/>
    </xf>
    <xf numFmtId="3" fontId="25" fillId="3" borderId="15" xfId="23" applyNumberFormat="1" applyFont="1" applyFill="1" applyBorder="1">
      <alignment/>
      <protection/>
    </xf>
    <xf numFmtId="3" fontId="9" fillId="0" borderId="7" xfId="23" applyNumberFormat="1" applyFont="1" applyBorder="1">
      <alignment/>
      <protection/>
    </xf>
    <xf numFmtId="3" fontId="9" fillId="0" borderId="0" xfId="23" applyNumberFormat="1" applyFont="1">
      <alignment/>
      <protection/>
    </xf>
    <xf numFmtId="3" fontId="10" fillId="3" borderId="38" xfId="22" applyNumberFormat="1" applyFont="1" applyFill="1" applyBorder="1">
      <alignment/>
      <protection/>
    </xf>
    <xf numFmtId="3" fontId="10" fillId="3" borderId="40" xfId="22" applyNumberFormat="1" applyFont="1" applyFill="1" applyBorder="1">
      <alignment/>
      <protection/>
    </xf>
    <xf numFmtId="183" fontId="10" fillId="0" borderId="1" xfId="22" applyNumberFormat="1" applyFont="1" applyBorder="1">
      <alignment/>
      <protection/>
    </xf>
    <xf numFmtId="0" fontId="9" fillId="0" borderId="42" xfId="33" applyFont="1" applyBorder="1">
      <alignment/>
      <protection/>
    </xf>
    <xf numFmtId="3" fontId="10" fillId="0" borderId="20" xfId="33" applyNumberFormat="1" applyFont="1" applyFill="1" applyBorder="1" applyAlignment="1">
      <alignment horizontal="right"/>
      <protection/>
    </xf>
    <xf numFmtId="0" fontId="10" fillId="0" borderId="42" xfId="33" applyFont="1" applyBorder="1">
      <alignment/>
      <protection/>
    </xf>
    <xf numFmtId="3" fontId="9" fillId="0" borderId="20" xfId="33" applyNumberFormat="1" applyFont="1" applyFill="1" applyBorder="1" applyAlignment="1">
      <alignment horizontal="right"/>
      <protection/>
    </xf>
    <xf numFmtId="0" fontId="13" fillId="0" borderId="42" xfId="33" applyFont="1" applyBorder="1">
      <alignment/>
      <protection/>
    </xf>
    <xf numFmtId="0" fontId="10" fillId="0" borderId="42" xfId="33" applyFont="1" applyBorder="1" applyAlignment="1">
      <alignment horizontal="left"/>
      <protection/>
    </xf>
    <xf numFmtId="0" fontId="9" fillId="0" borderId="42" xfId="33" applyFont="1" applyBorder="1" applyAlignment="1">
      <alignment horizontal="center"/>
      <protection/>
    </xf>
    <xf numFmtId="3" fontId="10" fillId="4" borderId="23" xfId="33" applyNumberFormat="1" applyFont="1" applyFill="1" applyBorder="1" applyAlignment="1">
      <alignment horizontal="right"/>
      <protection/>
    </xf>
    <xf numFmtId="0" fontId="10" fillId="4" borderId="36" xfId="33" applyFont="1" applyFill="1" applyBorder="1" applyAlignment="1">
      <alignment horizontal="right"/>
      <protection/>
    </xf>
    <xf numFmtId="0" fontId="9" fillId="0" borderId="0" xfId="29" applyFont="1" applyFill="1" applyBorder="1">
      <alignment/>
      <protection/>
    </xf>
    <xf numFmtId="0" fontId="6" fillId="0" borderId="24" xfId="29" applyFont="1" applyBorder="1" applyAlignment="1">
      <alignment horizontal="center"/>
      <protection/>
    </xf>
    <xf numFmtId="0" fontId="6" fillId="0" borderId="32" xfId="29" applyFont="1" applyBorder="1" applyAlignment="1">
      <alignment horizontal="center"/>
      <protection/>
    </xf>
    <xf numFmtId="0" fontId="6" fillId="0" borderId="23" xfId="29" applyFont="1" applyBorder="1" applyAlignment="1">
      <alignment horizontal="centerContinuous"/>
      <protection/>
    </xf>
    <xf numFmtId="0" fontId="6" fillId="0" borderId="0" xfId="29" applyFont="1" applyBorder="1" applyAlignment="1">
      <alignment horizontal="center"/>
      <protection/>
    </xf>
    <xf numFmtId="0" fontId="6" fillId="0" borderId="33" xfId="29" applyFont="1" applyBorder="1" applyAlignment="1">
      <alignment horizontal="center"/>
      <protection/>
    </xf>
    <xf numFmtId="0" fontId="6" fillId="0" borderId="30" xfId="29" applyFont="1" applyBorder="1" applyAlignment="1">
      <alignment horizontal="center"/>
      <protection/>
    </xf>
    <xf numFmtId="0" fontId="6" fillId="0" borderId="31" xfId="29" applyFont="1" applyBorder="1" applyAlignment="1">
      <alignment horizontal="center"/>
      <protection/>
    </xf>
    <xf numFmtId="0" fontId="6" fillId="0" borderId="36" xfId="29" applyFont="1" applyBorder="1" applyAlignment="1" quotePrefix="1">
      <alignment horizontal="center"/>
      <protection/>
    </xf>
    <xf numFmtId="0" fontId="0" fillId="0" borderId="0" xfId="0" applyFont="1" applyAlignment="1">
      <alignment/>
    </xf>
    <xf numFmtId="14" fontId="35" fillId="0" borderId="38" xfId="24" applyNumberFormat="1" applyFont="1" applyBorder="1" applyAlignment="1">
      <alignment horizontal="center"/>
      <protection/>
    </xf>
    <xf numFmtId="14" fontId="35" fillId="0" borderId="40" xfId="24" applyNumberFormat="1" applyFont="1" applyBorder="1" applyAlignment="1">
      <alignment horizontal="center"/>
      <protection/>
    </xf>
    <xf numFmtId="14" fontId="35" fillId="0" borderId="43" xfId="24" applyNumberFormat="1" applyFont="1" applyBorder="1" applyAlignment="1">
      <alignment horizontal="center"/>
      <protection/>
    </xf>
    <xf numFmtId="187" fontId="9" fillId="0" borderId="32" xfId="24" applyNumberFormat="1" applyFont="1" applyBorder="1">
      <alignment/>
      <protection/>
    </xf>
    <xf numFmtId="187" fontId="9" fillId="0" borderId="33" xfId="24" applyNumberFormat="1" applyFont="1" applyBorder="1">
      <alignment/>
      <protection/>
    </xf>
    <xf numFmtId="181" fontId="17" fillId="0" borderId="33" xfId="24" applyNumberFormat="1" applyFont="1" applyBorder="1">
      <alignment/>
      <protection/>
    </xf>
    <xf numFmtId="181" fontId="13" fillId="0" borderId="0" xfId="24" applyNumberFormat="1" applyFont="1" applyBorder="1">
      <alignment/>
      <protection/>
    </xf>
    <xf numFmtId="181" fontId="13" fillId="0" borderId="33" xfId="24" applyNumberFormat="1" applyFont="1" applyBorder="1">
      <alignment/>
      <protection/>
    </xf>
    <xf numFmtId="181" fontId="9" fillId="0" borderId="0" xfId="24" applyNumberFormat="1" applyFont="1" applyBorder="1">
      <alignment/>
      <protection/>
    </xf>
    <xf numFmtId="181" fontId="9" fillId="0" borderId="33" xfId="24" applyNumberFormat="1" applyFont="1" applyBorder="1">
      <alignment/>
      <protection/>
    </xf>
    <xf numFmtId="181" fontId="17" fillId="0" borderId="0" xfId="24" applyNumberFormat="1" applyFont="1" applyBorder="1">
      <alignment/>
      <protection/>
    </xf>
    <xf numFmtId="181" fontId="9" fillId="0" borderId="31" xfId="24" applyNumberFormat="1" applyFont="1" applyBorder="1">
      <alignment/>
      <protection/>
    </xf>
    <xf numFmtId="181" fontId="9" fillId="0" borderId="32" xfId="24" applyNumberFormat="1" applyFont="1" applyBorder="1">
      <alignment/>
      <protection/>
    </xf>
    <xf numFmtId="181" fontId="10" fillId="3" borderId="29" xfId="24" applyNumberFormat="1" applyFont="1" applyFill="1" applyBorder="1">
      <alignment/>
      <protection/>
    </xf>
    <xf numFmtId="181" fontId="10" fillId="3" borderId="38" xfId="24" applyNumberFormat="1" applyFont="1" applyFill="1" applyBorder="1">
      <alignment/>
      <protection/>
    </xf>
    <xf numFmtId="187" fontId="10" fillId="3" borderId="15" xfId="24" applyNumberFormat="1" applyFont="1" applyFill="1" applyBorder="1">
      <alignment/>
      <protection/>
    </xf>
    <xf numFmtId="187" fontId="10" fillId="3" borderId="15" xfId="24" applyNumberFormat="1" applyFont="1" applyFill="1" applyBorder="1" applyAlignment="1">
      <alignment horizontal="centerContinuous"/>
      <protection/>
    </xf>
    <xf numFmtId="187" fontId="10" fillId="3" borderId="44" xfId="24" applyNumberFormat="1" applyFont="1" applyFill="1" applyBorder="1" applyAlignment="1">
      <alignment horizontal="centerContinuous"/>
      <protection/>
    </xf>
    <xf numFmtId="181" fontId="10" fillId="3" borderId="40" xfId="24" applyNumberFormat="1" applyFont="1" applyFill="1" applyBorder="1">
      <alignment/>
      <protection/>
    </xf>
    <xf numFmtId="181" fontId="10" fillId="3" borderId="45" xfId="24" applyNumberFormat="1" applyFont="1" applyFill="1" applyBorder="1">
      <alignment/>
      <protection/>
    </xf>
    <xf numFmtId="187" fontId="10" fillId="3" borderId="46" xfId="24" applyNumberFormat="1" applyFont="1" applyFill="1" applyBorder="1">
      <alignment/>
      <protection/>
    </xf>
    <xf numFmtId="187" fontId="10" fillId="3" borderId="46" xfId="24" applyNumberFormat="1" applyFont="1" applyFill="1" applyBorder="1" applyAlignment="1">
      <alignment horizontal="centerContinuous"/>
      <protection/>
    </xf>
    <xf numFmtId="187" fontId="10" fillId="3" borderId="38" xfId="24" applyNumberFormat="1" applyFont="1" applyFill="1" applyBorder="1" applyAlignment="1">
      <alignment horizontal="centerContinuous"/>
      <protection/>
    </xf>
    <xf numFmtId="181" fontId="10" fillId="3" borderId="47" xfId="24" applyNumberFormat="1" applyFont="1" applyFill="1" applyBorder="1">
      <alignment/>
      <protection/>
    </xf>
    <xf numFmtId="181" fontId="10" fillId="3" borderId="48" xfId="24" applyNumberFormat="1" applyFont="1" applyFill="1" applyBorder="1">
      <alignment/>
      <protection/>
    </xf>
    <xf numFmtId="187" fontId="10" fillId="3" borderId="49" xfId="24" applyNumberFormat="1" applyFont="1" applyFill="1" applyBorder="1">
      <alignment/>
      <protection/>
    </xf>
    <xf numFmtId="187" fontId="10" fillId="3" borderId="50" xfId="24" applyNumberFormat="1" applyFont="1" applyFill="1" applyBorder="1" applyAlignment="1">
      <alignment horizontal="centerContinuous"/>
      <protection/>
    </xf>
    <xf numFmtId="187" fontId="10" fillId="3" borderId="48" xfId="24" applyNumberFormat="1" applyFont="1" applyFill="1" applyBorder="1" applyAlignment="1">
      <alignment horizontal="centerContinuous"/>
      <protection/>
    </xf>
    <xf numFmtId="14" fontId="31" fillId="0" borderId="15" xfId="32" applyNumberFormat="1" applyFont="1" applyBorder="1" applyAlignment="1">
      <alignment horizontal="center"/>
      <protection/>
    </xf>
    <xf numFmtId="0" fontId="0" fillId="0" borderId="2" xfId="0" applyFont="1" applyBorder="1" applyAlignment="1">
      <alignment/>
    </xf>
    <xf numFmtId="0" fontId="27" fillId="0" borderId="1" xfId="22" applyNumberFormat="1" applyFont="1" applyBorder="1" applyAlignment="1" quotePrefix="1">
      <alignment horizontal="center"/>
      <protection/>
    </xf>
    <xf numFmtId="14" fontId="31" fillId="0" borderId="31" xfId="28" applyNumberFormat="1" applyFont="1" applyBorder="1" applyAlignment="1">
      <alignment horizontal="center"/>
      <protection/>
    </xf>
    <xf numFmtId="14" fontId="6" fillId="0" borderId="11" xfId="29" applyNumberFormat="1" applyFont="1" applyBorder="1" applyAlignment="1" quotePrefix="1">
      <alignment horizontal="center"/>
      <protection/>
    </xf>
    <xf numFmtId="14" fontId="29" fillId="0" borderId="40" xfId="30" applyNumberFormat="1" applyFont="1" applyBorder="1" applyAlignment="1">
      <alignment horizontal="center" vertical="center"/>
      <protection/>
    </xf>
    <xf numFmtId="0" fontId="36" fillId="0" borderId="0" xfId="0" applyFont="1" applyAlignment="1">
      <alignment/>
    </xf>
    <xf numFmtId="218" fontId="37" fillId="0" borderId="0" xfId="22" applyNumberFormat="1" applyFont="1">
      <alignment/>
      <protection/>
    </xf>
    <xf numFmtId="0" fontId="37" fillId="0" borderId="0" xfId="22" applyFont="1">
      <alignment/>
      <protection/>
    </xf>
    <xf numFmtId="0" fontId="0" fillId="0" borderId="31" xfId="0" applyBorder="1" applyAlignment="1">
      <alignment horizontal="center" vertical="center"/>
    </xf>
    <xf numFmtId="0" fontId="38" fillId="3" borderId="0" xfId="2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7" fillId="0" borderId="32" xfId="22" applyFont="1" applyBorder="1" applyAlignment="1">
      <alignment horizontal="center" vertical="center"/>
      <protection/>
    </xf>
    <xf numFmtId="0" fontId="27" fillId="0" borderId="33" xfId="22" applyFont="1" applyBorder="1" applyAlignment="1">
      <alignment horizontal="center" vertical="center"/>
      <protection/>
    </xf>
    <xf numFmtId="0" fontId="27" fillId="0" borderId="31" xfId="22" applyFont="1" applyBorder="1" applyAlignment="1">
      <alignment horizontal="center" vertical="center"/>
      <protection/>
    </xf>
    <xf numFmtId="14" fontId="34" fillId="0" borderId="32" xfId="22" applyNumberFormat="1" applyFont="1" applyBorder="1" applyAlignment="1">
      <alignment horizontal="center" vertical="center"/>
      <protection/>
    </xf>
    <xf numFmtId="0" fontId="34" fillId="0" borderId="33" xfId="22" applyFont="1" applyBorder="1" applyAlignment="1">
      <alignment horizontal="center" vertical="center"/>
      <protection/>
    </xf>
    <xf numFmtId="0" fontId="34" fillId="0" borderId="31" xfId="22" applyFont="1" applyBorder="1" applyAlignment="1">
      <alignment horizontal="center" vertical="center"/>
      <protection/>
    </xf>
    <xf numFmtId="0" fontId="29" fillId="0" borderId="24" xfId="22" applyFont="1" applyBorder="1" applyAlignment="1">
      <alignment horizontal="center" vertical="center"/>
      <protection/>
    </xf>
    <xf numFmtId="0" fontId="29" fillId="0" borderId="0" xfId="22" applyFont="1" applyBorder="1" applyAlignment="1">
      <alignment horizontal="center" vertical="center"/>
      <protection/>
    </xf>
    <xf numFmtId="0" fontId="29" fillId="0" borderId="30" xfId="22" applyFont="1" applyBorder="1" applyAlignment="1">
      <alignment horizontal="center" vertical="center"/>
      <protection/>
    </xf>
    <xf numFmtId="0" fontId="9" fillId="0" borderId="2" xfId="23" applyFont="1" applyBorder="1" applyAlignment="1">
      <alignment horizontal="left"/>
      <protection/>
    </xf>
    <xf numFmtId="0" fontId="9" fillId="0" borderId="0" xfId="23" applyFont="1" applyBorder="1" applyAlignment="1">
      <alignment horizontal="left"/>
      <protection/>
    </xf>
    <xf numFmtId="0" fontId="10" fillId="0" borderId="2" xfId="23" applyFont="1" applyBorder="1" applyAlignment="1">
      <alignment horizontal="center"/>
      <protection/>
    </xf>
    <xf numFmtId="0" fontId="10" fillId="0" borderId="0" xfId="23" applyFont="1" applyAlignment="1">
      <alignment horizontal="center"/>
      <protection/>
    </xf>
    <xf numFmtId="0" fontId="25" fillId="3" borderId="16" xfId="23" applyFont="1" applyFill="1" applyBorder="1" applyAlignment="1">
      <alignment horizontal="left"/>
      <protection/>
    </xf>
    <xf numFmtId="0" fontId="25" fillId="3" borderId="15" xfId="23" applyFont="1" applyFill="1" applyBorder="1" applyAlignment="1">
      <alignment horizontal="left"/>
      <protection/>
    </xf>
    <xf numFmtId="14" fontId="29" fillId="0" borderId="51" xfId="23" applyNumberFormat="1" applyFont="1" applyBorder="1" applyAlignment="1">
      <alignment horizontal="center" vertical="center"/>
      <protection/>
    </xf>
    <xf numFmtId="0" fontId="29" fillId="0" borderId="52" xfId="23" applyFont="1" applyBorder="1" applyAlignment="1">
      <alignment horizontal="center" vertical="center"/>
      <protection/>
    </xf>
    <xf numFmtId="14" fontId="29" fillId="0" borderId="53" xfId="23" applyNumberFormat="1" applyFont="1" applyBorder="1" applyAlignment="1">
      <alignment horizontal="center" vertical="center"/>
      <protection/>
    </xf>
    <xf numFmtId="0" fontId="29" fillId="0" borderId="26" xfId="23" applyFont="1" applyBorder="1" applyAlignment="1">
      <alignment horizontal="center" vertical="center"/>
      <protection/>
    </xf>
    <xf numFmtId="0" fontId="29" fillId="0" borderId="34" xfId="23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7" fillId="0" borderId="32" xfId="23" applyFont="1" applyBorder="1" applyAlignment="1">
      <alignment horizontal="center" vertical="center"/>
      <protection/>
    </xf>
    <xf numFmtId="187" fontId="27" fillId="0" borderId="54" xfId="24" applyNumberFormat="1" applyFont="1" applyBorder="1" applyAlignment="1">
      <alignment horizontal="center" vertical="center"/>
      <protection/>
    </xf>
    <xf numFmtId="187" fontId="27" fillId="0" borderId="55" xfId="24" applyNumberFormat="1" applyFont="1" applyBorder="1" applyAlignment="1">
      <alignment horizontal="center" vertical="center"/>
      <protection/>
    </xf>
    <xf numFmtId="187" fontId="27" fillId="0" borderId="56" xfId="24" applyNumberFormat="1" applyFont="1" applyBorder="1" applyAlignment="1">
      <alignment horizontal="center" vertical="center"/>
      <protection/>
    </xf>
    <xf numFmtId="187" fontId="27" fillId="0" borderId="57" xfId="24" applyNumberFormat="1" applyFont="1" applyBorder="1" applyAlignment="1">
      <alignment horizontal="center" vertical="center"/>
      <protection/>
    </xf>
    <xf numFmtId="187" fontId="27" fillId="0" borderId="30" xfId="24" applyNumberFormat="1" applyFont="1" applyBorder="1" applyAlignment="1">
      <alignment horizontal="center" vertical="center"/>
      <protection/>
    </xf>
    <xf numFmtId="187" fontId="27" fillId="0" borderId="58" xfId="24" applyNumberFormat="1" applyFont="1" applyBorder="1" applyAlignment="1">
      <alignment horizontal="center" vertical="center"/>
      <protection/>
    </xf>
    <xf numFmtId="187" fontId="27" fillId="0" borderId="34" xfId="24" applyNumberFormat="1" applyFont="1" applyBorder="1" applyAlignment="1">
      <alignment horizontal="center" vertical="center" wrapText="1"/>
      <protection/>
    </xf>
    <xf numFmtId="187" fontId="27" fillId="0" borderId="24" xfId="24" applyNumberFormat="1" applyFont="1" applyBorder="1" applyAlignment="1">
      <alignment horizontal="center" vertical="center"/>
      <protection/>
    </xf>
    <xf numFmtId="187" fontId="27" fillId="0" borderId="23" xfId="24" applyNumberFormat="1" applyFont="1" applyBorder="1" applyAlignment="1">
      <alignment horizontal="center" vertical="center"/>
      <protection/>
    </xf>
    <xf numFmtId="187" fontId="27" fillId="0" borderId="37" xfId="24" applyNumberFormat="1" applyFont="1" applyBorder="1" applyAlignment="1">
      <alignment horizontal="center" vertical="center"/>
      <protection/>
    </xf>
    <xf numFmtId="187" fontId="27" fillId="0" borderId="0" xfId="24" applyNumberFormat="1" applyFont="1" applyBorder="1" applyAlignment="1">
      <alignment horizontal="center" vertical="center"/>
      <protection/>
    </xf>
    <xf numFmtId="187" fontId="27" fillId="0" borderId="11" xfId="24" applyNumberFormat="1" applyFont="1" applyBorder="1" applyAlignment="1">
      <alignment horizontal="center" vertical="center"/>
      <protection/>
    </xf>
    <xf numFmtId="187" fontId="27" fillId="0" borderId="35" xfId="24" applyNumberFormat="1" applyFont="1" applyBorder="1" applyAlignment="1">
      <alignment horizontal="center" vertical="center"/>
      <protection/>
    </xf>
    <xf numFmtId="187" fontId="27" fillId="0" borderId="36" xfId="24" applyNumberFormat="1" applyFont="1" applyBorder="1" applyAlignment="1">
      <alignment horizontal="center" vertical="center"/>
      <protection/>
    </xf>
    <xf numFmtId="14" fontId="29" fillId="0" borderId="16" xfId="25" applyNumberFormat="1" applyFont="1" applyBorder="1" applyAlignment="1">
      <alignment horizontal="center"/>
      <protection/>
    </xf>
    <xf numFmtId="0" fontId="29" fillId="0" borderId="15" xfId="25" applyFont="1" applyBorder="1" applyAlignment="1">
      <alignment horizontal="center"/>
      <protection/>
    </xf>
    <xf numFmtId="0" fontId="29" fillId="0" borderId="40" xfId="25" applyFont="1" applyBorder="1" applyAlignment="1">
      <alignment horizontal="center"/>
      <protection/>
    </xf>
    <xf numFmtId="0" fontId="26" fillId="3" borderId="0" xfId="25" applyFont="1" applyFill="1" applyBorder="1" applyAlignment="1">
      <alignment horizontal="left"/>
      <protection/>
    </xf>
    <xf numFmtId="0" fontId="29" fillId="0" borderId="34" xfId="25" applyFont="1" applyBorder="1" applyAlignment="1">
      <alignment horizontal="center" vertical="center" wrapText="1"/>
      <protection/>
    </xf>
    <xf numFmtId="0" fontId="29" fillId="0" borderId="24" xfId="25" applyFont="1" applyBorder="1" applyAlignment="1">
      <alignment horizontal="center" vertical="center" wrapText="1"/>
      <protection/>
    </xf>
    <xf numFmtId="0" fontId="29" fillId="0" borderId="23" xfId="25" applyFont="1" applyBorder="1" applyAlignment="1">
      <alignment horizontal="center" vertical="center" wrapText="1"/>
      <protection/>
    </xf>
    <xf numFmtId="0" fontId="29" fillId="0" borderId="35" xfId="25" applyFont="1" applyBorder="1" applyAlignment="1">
      <alignment horizontal="center" vertical="center" wrapText="1"/>
      <protection/>
    </xf>
    <xf numFmtId="0" fontId="29" fillId="0" borderId="30" xfId="25" applyFont="1" applyBorder="1" applyAlignment="1">
      <alignment horizontal="center" vertical="center" wrapText="1"/>
      <protection/>
    </xf>
    <xf numFmtId="0" fontId="29" fillId="0" borderId="36" xfId="25" applyFont="1" applyBorder="1" applyAlignment="1">
      <alignment horizontal="center" vertical="center" wrapText="1"/>
      <protection/>
    </xf>
    <xf numFmtId="0" fontId="26" fillId="3" borderId="0" xfId="26" applyFont="1" applyFill="1" applyBorder="1" applyAlignment="1" quotePrefix="1">
      <alignment horizontal="left"/>
      <protection/>
    </xf>
    <xf numFmtId="0" fontId="29" fillId="0" borderId="34" xfId="26" applyFont="1" applyBorder="1" applyAlignment="1">
      <alignment horizontal="center" vertical="center"/>
      <protection/>
    </xf>
    <xf numFmtId="0" fontId="29" fillId="0" borderId="24" xfId="26" applyFont="1" applyBorder="1" applyAlignment="1">
      <alignment horizontal="center" vertical="center"/>
      <protection/>
    </xf>
    <xf numFmtId="0" fontId="29" fillId="0" borderId="23" xfId="26" applyFont="1" applyBorder="1" applyAlignment="1">
      <alignment horizontal="center" vertical="center"/>
      <protection/>
    </xf>
    <xf numFmtId="0" fontId="29" fillId="0" borderId="35" xfId="26" applyFont="1" applyBorder="1" applyAlignment="1">
      <alignment horizontal="center" vertical="center"/>
      <protection/>
    </xf>
    <xf numFmtId="0" fontId="29" fillId="0" borderId="30" xfId="26" applyFont="1" applyBorder="1" applyAlignment="1">
      <alignment horizontal="center" vertical="center"/>
      <protection/>
    </xf>
    <xf numFmtId="0" fontId="29" fillId="0" borderId="36" xfId="26" applyFont="1" applyBorder="1" applyAlignment="1">
      <alignment horizontal="center" vertical="center"/>
      <protection/>
    </xf>
    <xf numFmtId="0" fontId="6" fillId="0" borderId="0" xfId="26" applyFont="1" applyAlignment="1">
      <alignment horizontal="left" vertical="center" wrapText="1"/>
      <protection/>
    </xf>
    <xf numFmtId="14" fontId="29" fillId="0" borderId="39" xfId="26" applyNumberFormat="1" applyFont="1" applyBorder="1" applyAlignment="1">
      <alignment horizontal="center"/>
      <protection/>
    </xf>
    <xf numFmtId="0" fontId="29" fillId="0" borderId="15" xfId="26" applyFont="1" applyBorder="1" applyAlignment="1">
      <alignment horizontal="center"/>
      <protection/>
    </xf>
    <xf numFmtId="0" fontId="29" fillId="0" borderId="40" xfId="26" applyFont="1" applyBorder="1" applyAlignment="1">
      <alignment horizontal="center"/>
      <protection/>
    </xf>
    <xf numFmtId="0" fontId="29" fillId="0" borderId="34" xfId="28" applyFont="1" applyBorder="1" applyAlignment="1">
      <alignment horizontal="center" vertical="center" wrapText="1"/>
      <protection/>
    </xf>
    <xf numFmtId="0" fontId="29" fillId="0" borderId="24" xfId="28" applyFont="1" applyBorder="1" applyAlignment="1">
      <alignment horizontal="center" vertical="center" wrapText="1"/>
      <protection/>
    </xf>
    <xf numFmtId="0" fontId="29" fillId="0" borderId="23" xfId="28" applyFont="1" applyBorder="1" applyAlignment="1">
      <alignment horizontal="center" vertical="center" wrapText="1"/>
      <protection/>
    </xf>
    <xf numFmtId="0" fontId="29" fillId="0" borderId="37" xfId="28" applyFont="1" applyBorder="1" applyAlignment="1">
      <alignment horizontal="center" vertical="center" wrapText="1"/>
      <protection/>
    </xf>
    <xf numFmtId="0" fontId="29" fillId="0" borderId="0" xfId="28" applyFont="1" applyBorder="1" applyAlignment="1">
      <alignment horizontal="center" vertical="center" wrapText="1"/>
      <protection/>
    </xf>
    <xf numFmtId="0" fontId="29" fillId="0" borderId="11" xfId="28" applyFont="1" applyBorder="1" applyAlignment="1">
      <alignment horizontal="center" vertical="center" wrapText="1"/>
      <protection/>
    </xf>
    <xf numFmtId="0" fontId="29" fillId="0" borderId="35" xfId="28" applyFont="1" applyBorder="1" applyAlignment="1">
      <alignment horizontal="center" vertical="center" wrapText="1"/>
      <protection/>
    </xf>
    <xf numFmtId="0" fontId="29" fillId="0" borderId="30" xfId="28" applyFont="1" applyBorder="1" applyAlignment="1">
      <alignment horizontal="center" vertical="center" wrapText="1"/>
      <protection/>
    </xf>
    <xf numFmtId="0" fontId="29" fillId="0" borderId="36" xfId="28" applyFont="1" applyBorder="1" applyAlignment="1">
      <alignment horizontal="center" vertical="center" wrapText="1"/>
      <protection/>
    </xf>
    <xf numFmtId="0" fontId="26" fillId="3" borderId="0" xfId="28" applyFont="1" applyFill="1" applyBorder="1" applyAlignment="1">
      <alignment horizontal="left"/>
      <protection/>
    </xf>
    <xf numFmtId="0" fontId="6" fillId="3" borderId="0" xfId="29" applyFont="1" applyFill="1" applyBorder="1" applyAlignment="1">
      <alignment horizontal="left" wrapText="1"/>
      <protection/>
    </xf>
    <xf numFmtId="0" fontId="6" fillId="0" borderId="34" xfId="28" applyFont="1" applyBorder="1" applyAlignment="1">
      <alignment horizontal="center" vertical="center" wrapText="1"/>
      <protection/>
    </xf>
    <xf numFmtId="0" fontId="6" fillId="0" borderId="24" xfId="28" applyFont="1" applyBorder="1" applyAlignment="1">
      <alignment horizontal="center" vertical="center" wrapText="1"/>
      <protection/>
    </xf>
    <xf numFmtId="0" fontId="6" fillId="0" borderId="23" xfId="28" applyFont="1" applyBorder="1" applyAlignment="1">
      <alignment horizontal="center" vertical="center" wrapText="1"/>
      <protection/>
    </xf>
    <xf numFmtId="0" fontId="6" fillId="0" borderId="37" xfId="28" applyFont="1" applyBorder="1" applyAlignment="1">
      <alignment horizontal="center" vertical="center" wrapText="1"/>
      <protection/>
    </xf>
    <xf numFmtId="0" fontId="6" fillId="0" borderId="0" xfId="28" applyFont="1" applyBorder="1" applyAlignment="1">
      <alignment horizontal="center" vertical="center" wrapText="1"/>
      <protection/>
    </xf>
    <xf numFmtId="0" fontId="6" fillId="0" borderId="11" xfId="28" applyFont="1" applyBorder="1" applyAlignment="1">
      <alignment horizontal="center" vertical="center" wrapText="1"/>
      <protection/>
    </xf>
    <xf numFmtId="0" fontId="6" fillId="0" borderId="35" xfId="28" applyFont="1" applyBorder="1" applyAlignment="1">
      <alignment horizontal="center" vertical="center" wrapText="1"/>
      <protection/>
    </xf>
    <xf numFmtId="0" fontId="6" fillId="0" borderId="30" xfId="28" applyFont="1" applyBorder="1" applyAlignment="1">
      <alignment horizontal="center" vertical="center" wrapText="1"/>
      <protection/>
    </xf>
    <xf numFmtId="0" fontId="6" fillId="0" borderId="36" xfId="28" applyFont="1" applyBorder="1" applyAlignment="1">
      <alignment horizontal="center" vertical="center" wrapText="1"/>
      <protection/>
    </xf>
    <xf numFmtId="0" fontId="26" fillId="3" borderId="0" xfId="30" applyFont="1" applyFill="1" applyBorder="1" applyAlignment="1">
      <alignment horizontal="left"/>
      <protection/>
    </xf>
    <xf numFmtId="0" fontId="10" fillId="4" borderId="37" xfId="30" applyFont="1" applyFill="1" applyBorder="1" applyAlignment="1" quotePrefix="1">
      <alignment horizontal="left"/>
      <protection/>
    </xf>
    <xf numFmtId="0" fontId="10" fillId="4" borderId="0" xfId="30" applyFont="1" applyFill="1" applyBorder="1" applyAlignment="1" quotePrefix="1">
      <alignment horizontal="left"/>
      <protection/>
    </xf>
    <xf numFmtId="0" fontId="10" fillId="0" borderId="2" xfId="30" applyFont="1" applyFill="1" applyBorder="1" applyAlignment="1" quotePrefix="1">
      <alignment horizontal="left"/>
      <protection/>
    </xf>
    <xf numFmtId="0" fontId="10" fillId="0" borderId="0" xfId="30" applyFont="1" applyFill="1" applyBorder="1" applyAlignment="1" quotePrefix="1">
      <alignment horizontal="left"/>
      <protection/>
    </xf>
    <xf numFmtId="0" fontId="10" fillId="0" borderId="3" xfId="30" applyFont="1" applyFill="1" applyBorder="1" applyAlignment="1" quotePrefix="1">
      <alignment horizontal="left"/>
      <protection/>
    </xf>
    <xf numFmtId="0" fontId="9" fillId="0" borderId="2" xfId="30" applyFont="1" applyFill="1" applyBorder="1" applyAlignment="1" quotePrefix="1">
      <alignment horizontal="left"/>
      <protection/>
    </xf>
    <xf numFmtId="0" fontId="9" fillId="0" borderId="0" xfId="30" applyFont="1" applyFill="1" applyBorder="1" applyAlignment="1" quotePrefix="1">
      <alignment horizontal="left"/>
      <protection/>
    </xf>
    <xf numFmtId="0" fontId="9" fillId="0" borderId="3" xfId="30" applyFont="1" applyFill="1" applyBorder="1" applyAlignment="1" quotePrefix="1">
      <alignment horizontal="left"/>
      <protection/>
    </xf>
    <xf numFmtId="0" fontId="9" fillId="0" borderId="2" xfId="30" applyFont="1" applyBorder="1" applyAlignment="1" quotePrefix="1">
      <alignment horizontal="left"/>
      <protection/>
    </xf>
    <xf numFmtId="0" fontId="9" fillId="0" borderId="0" xfId="30" applyFont="1" applyBorder="1" applyAlignment="1">
      <alignment horizontal="left"/>
      <protection/>
    </xf>
    <xf numFmtId="0" fontId="9" fillId="0" borderId="3" xfId="30" applyFont="1" applyBorder="1" applyAlignment="1">
      <alignment horizontal="left"/>
      <protection/>
    </xf>
    <xf numFmtId="0" fontId="9" fillId="0" borderId="0" xfId="30" applyFont="1" applyBorder="1" applyAlignment="1" quotePrefix="1">
      <alignment horizontal="left"/>
      <protection/>
    </xf>
    <xf numFmtId="0" fontId="9" fillId="0" borderId="3" xfId="30" applyFont="1" applyBorder="1" applyAlignment="1" quotePrefix="1">
      <alignment horizontal="left"/>
      <protection/>
    </xf>
    <xf numFmtId="0" fontId="31" fillId="0" borderId="32" xfId="32" applyFont="1" applyBorder="1" applyAlignment="1">
      <alignment horizontal="center" vertical="center"/>
      <protection/>
    </xf>
    <xf numFmtId="0" fontId="31" fillId="0" borderId="33" xfId="32" applyFont="1" applyBorder="1" applyAlignment="1">
      <alignment horizontal="center" vertical="center"/>
      <protection/>
    </xf>
    <xf numFmtId="0" fontId="31" fillId="0" borderId="31" xfId="32" applyFont="1" applyBorder="1" applyAlignment="1">
      <alignment horizontal="center" vertical="center"/>
      <protection/>
    </xf>
    <xf numFmtId="0" fontId="29" fillId="0" borderId="34" xfId="32" applyFont="1" applyBorder="1" applyAlignment="1">
      <alignment horizontal="center" vertical="center"/>
      <protection/>
    </xf>
    <xf numFmtId="0" fontId="29" fillId="0" borderId="24" xfId="32" applyFont="1" applyBorder="1" applyAlignment="1">
      <alignment horizontal="center" vertical="center"/>
      <protection/>
    </xf>
    <xf numFmtId="0" fontId="29" fillId="0" borderId="23" xfId="32" applyFont="1" applyBorder="1" applyAlignment="1">
      <alignment horizontal="center" vertical="center"/>
      <protection/>
    </xf>
    <xf numFmtId="0" fontId="29" fillId="0" borderId="37" xfId="32" applyFont="1" applyBorder="1" applyAlignment="1">
      <alignment horizontal="center" vertical="center"/>
      <protection/>
    </xf>
    <xf numFmtId="0" fontId="29" fillId="0" borderId="0" xfId="32" applyFont="1" applyBorder="1" applyAlignment="1">
      <alignment horizontal="center" vertical="center"/>
      <protection/>
    </xf>
    <xf numFmtId="0" fontId="29" fillId="0" borderId="11" xfId="32" applyFont="1" applyBorder="1" applyAlignment="1">
      <alignment horizontal="center" vertical="center"/>
      <protection/>
    </xf>
    <xf numFmtId="0" fontId="29" fillId="0" borderId="35" xfId="32" applyFont="1" applyBorder="1" applyAlignment="1">
      <alignment horizontal="center" vertical="center"/>
      <protection/>
    </xf>
    <xf numFmtId="0" fontId="29" fillId="0" borderId="30" xfId="32" applyFont="1" applyBorder="1" applyAlignment="1">
      <alignment horizontal="center" vertical="center"/>
      <protection/>
    </xf>
    <xf numFmtId="0" fontId="29" fillId="0" borderId="36" xfId="32" applyFont="1" applyBorder="1" applyAlignment="1">
      <alignment horizontal="center" vertical="center"/>
      <protection/>
    </xf>
    <xf numFmtId="0" fontId="26" fillId="3" borderId="0" xfId="32" applyFont="1" applyFill="1" applyBorder="1" applyAlignment="1">
      <alignment horizontal="left"/>
      <protection/>
    </xf>
  </cellXfs>
  <cellStyles count="21">
    <cellStyle name="Normal" xfId="0"/>
    <cellStyle name="Hyperlink" xfId="15"/>
    <cellStyle name="Followed Hyperlink" xfId="16"/>
    <cellStyle name="Comma" xfId="17"/>
    <cellStyle name="Comma [0]" xfId="18"/>
    <cellStyle name="Milliers [0]_NOTE02NC" xfId="19"/>
    <cellStyle name="Currency" xfId="20"/>
    <cellStyle name="Currency [0]" xfId="21"/>
    <cellStyle name="Normal_BILP1NC" xfId="22"/>
    <cellStyle name="Normal_BILP2NC" xfId="23"/>
    <cellStyle name="Normal_NCN290" xfId="24"/>
    <cellStyle name="Normal_NOTE02NC" xfId="25"/>
    <cellStyle name="Normal_NOTE03NC" xfId="26"/>
    <cellStyle name="Normal_NOTE05NC" xfId="27"/>
    <cellStyle name="Normal_NOTE10NC" xfId="28"/>
    <cellStyle name="Normal_NOTE11NC" xfId="29"/>
    <cellStyle name="Normal_NOTE13NC" xfId="30"/>
    <cellStyle name="Normal_NOTE14NC" xfId="31"/>
    <cellStyle name="Normal_NOTE17NC" xfId="32"/>
    <cellStyle name="Normal_Plaquette2002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85750" y="0"/>
          <a:ext cx="3524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552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285750" y="0"/>
          <a:ext cx="3524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285750" y="0"/>
          <a:ext cx="2819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Rectangle 14"/>
        <xdr:cNvSpPr>
          <a:spLocks/>
        </xdr:cNvSpPr>
      </xdr:nvSpPr>
      <xdr:spPr>
        <a:xfrm>
          <a:off x="219075" y="0"/>
          <a:ext cx="3076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4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9.v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5.xml" /><Relationship Id="rId4" Type="http://schemas.openxmlformats.org/officeDocument/2006/relationships/vmlDrawing" Target="../drawings/vmlDrawing12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="75" zoomScaleNormal="75" workbookViewId="0" topLeftCell="A3">
      <selection activeCell="F29" sqref="F29"/>
    </sheetView>
  </sheetViews>
  <sheetFormatPr defaultColWidth="11.421875" defaultRowHeight="12.75"/>
  <cols>
    <col min="1" max="1" width="4.28125" style="1" customWidth="1"/>
    <col min="2" max="2" width="11.421875" style="1" customWidth="1"/>
    <col min="3" max="3" width="12.7109375" style="1" customWidth="1"/>
    <col min="4" max="4" width="13.8515625" style="1" customWidth="1"/>
    <col min="5" max="5" width="14.8515625" style="1" customWidth="1"/>
    <col min="6" max="6" width="22.7109375" style="1" customWidth="1"/>
    <col min="7" max="7" width="13.7109375" style="1" customWidth="1"/>
    <col min="8" max="8" width="14.8515625" style="1" customWidth="1"/>
    <col min="9" max="9" width="14.57421875" style="1" customWidth="1"/>
    <col min="10" max="10" width="13.7109375" style="1" customWidth="1"/>
    <col min="11" max="16384" width="11.421875" style="1" customWidth="1"/>
  </cols>
  <sheetData>
    <row r="1" spans="1:10" ht="15.75">
      <c r="A1" s="2"/>
      <c r="B1" s="3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3"/>
      <c r="C2" s="2"/>
      <c r="D2" s="2"/>
      <c r="E2" s="2"/>
      <c r="F2" s="2"/>
      <c r="G2" s="2"/>
      <c r="H2" s="2"/>
      <c r="I2" s="2"/>
      <c r="J2" s="2"/>
    </row>
    <row r="3" spans="1:10" ht="15.75">
      <c r="A3" s="2"/>
      <c r="B3" s="3"/>
      <c r="C3" s="2"/>
      <c r="D3" s="2"/>
      <c r="E3" s="2"/>
      <c r="F3" s="2"/>
      <c r="G3" s="2"/>
      <c r="H3" s="2"/>
      <c r="I3" s="2"/>
      <c r="J3" s="2"/>
    </row>
    <row r="4" spans="1:10" ht="15.75">
      <c r="A4" s="2"/>
      <c r="B4" s="3"/>
      <c r="C4" s="2"/>
      <c r="D4" s="2"/>
      <c r="E4" s="2"/>
      <c r="F4" s="2"/>
      <c r="G4" s="2"/>
      <c r="H4" s="2"/>
      <c r="I4" s="2"/>
      <c r="J4" s="2"/>
    </row>
    <row r="5" spans="1:10" ht="15.75">
      <c r="A5" s="2"/>
      <c r="B5" s="3"/>
      <c r="C5" s="2"/>
      <c r="D5" s="2"/>
      <c r="E5" s="2"/>
      <c r="F5" s="2"/>
      <c r="G5" s="2"/>
      <c r="H5" s="2"/>
      <c r="I5" s="2"/>
      <c r="J5" s="2"/>
    </row>
    <row r="6" spans="1:10" ht="15.75">
      <c r="A6" s="2"/>
      <c r="B6" s="3"/>
      <c r="C6" s="2"/>
      <c r="D6" s="2"/>
      <c r="E6" s="2"/>
      <c r="F6" s="2"/>
      <c r="G6" s="2"/>
      <c r="H6" s="2"/>
      <c r="I6" s="2"/>
      <c r="J6" s="2"/>
    </row>
    <row r="7" spans="1:10" ht="25.5">
      <c r="A7" s="2"/>
      <c r="B7" s="3"/>
      <c r="C7" s="2"/>
      <c r="D7" s="560"/>
      <c r="E7" s="2"/>
      <c r="F7" s="2"/>
      <c r="G7" s="2"/>
      <c r="H7" s="2"/>
      <c r="I7" s="2"/>
      <c r="J7" s="2"/>
    </row>
    <row r="8" spans="1:10" ht="25.5">
      <c r="A8" s="2"/>
      <c r="B8" s="3"/>
      <c r="C8" s="2"/>
      <c r="D8" s="560" t="s">
        <v>226</v>
      </c>
      <c r="E8" s="2"/>
      <c r="F8" s="2"/>
      <c r="G8" s="2"/>
      <c r="H8" s="2"/>
      <c r="I8" s="2"/>
      <c r="J8" s="2"/>
    </row>
    <row r="9" spans="1:10" ht="25.5">
      <c r="A9" s="2"/>
      <c r="B9" s="3"/>
      <c r="C9" s="2"/>
      <c r="D9" s="560"/>
      <c r="E9" s="2"/>
      <c r="F9" s="2"/>
      <c r="G9" s="2"/>
      <c r="H9" s="2"/>
      <c r="I9" s="2"/>
      <c r="J9" s="2"/>
    </row>
    <row r="10" spans="1:10" ht="15.75">
      <c r="A10" s="2"/>
      <c r="B10" s="3"/>
      <c r="C10" s="2"/>
      <c r="D10" s="2"/>
      <c r="E10" s="2"/>
      <c r="F10" s="2"/>
      <c r="G10" s="2"/>
      <c r="H10" s="2"/>
      <c r="I10" s="2"/>
      <c r="J10" s="2"/>
    </row>
    <row r="11" spans="1:10" ht="25.5">
      <c r="A11" s="564" t="s">
        <v>227</v>
      </c>
      <c r="B11" s="565"/>
      <c r="C11" s="565"/>
      <c r="D11" s="565"/>
      <c r="E11" s="565"/>
      <c r="F11" s="565"/>
      <c r="G11" s="565"/>
      <c r="H11" s="565"/>
      <c r="I11" s="565"/>
      <c r="J11" s="565"/>
    </row>
    <row r="17" spans="4:6" ht="25.5">
      <c r="D17" s="562" t="s">
        <v>228</v>
      </c>
      <c r="E17" s="111"/>
      <c r="F17" s="561">
        <v>39629</v>
      </c>
    </row>
  </sheetData>
  <mergeCells count="1">
    <mergeCell ref="A11:J11"/>
  </mergeCells>
  <printOptions horizontalCentered="1"/>
  <pageMargins left="0.3937007874015748" right="0.3937007874015748" top="0.7086614173228347" bottom="0.7086614173228347" header="0.4330708661417323" footer="0.5118110236220472"/>
  <pageSetup horizontalDpi="300" verticalDpi="300" orientation="portrait" paperSize="9" scale="70" r:id="rId3"/>
  <headerFooter alignWithMargins="0">
    <oddHeader>&amp;R&amp;"Arial,Gras"&amp;18COMPTES SOCIAUX &amp;B</oddHead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6:G42"/>
  <sheetViews>
    <sheetView zoomScale="75" zoomScaleNormal="75" workbookViewId="0" topLeftCell="A1">
      <selection activeCell="A26" sqref="A26"/>
    </sheetView>
  </sheetViews>
  <sheetFormatPr defaultColWidth="11.421875" defaultRowHeight="12.75"/>
  <cols>
    <col min="1" max="1" width="43.8515625" style="109" customWidth="1"/>
    <col min="2" max="2" width="14.28125" style="222" customWidth="1"/>
    <col min="3" max="3" width="16.57421875" style="109" customWidth="1"/>
    <col min="4" max="4" width="14.7109375" style="109" customWidth="1"/>
    <col min="5" max="5" width="13.28125" style="109" customWidth="1"/>
    <col min="6" max="6" width="15.8515625" style="222" customWidth="1"/>
    <col min="7" max="16384" width="11.421875" style="109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1:7" ht="15.75" customHeight="1">
      <c r="A6" s="393" t="s">
        <v>235</v>
      </c>
      <c r="B6" s="394"/>
      <c r="C6" s="394"/>
      <c r="D6" s="395"/>
      <c r="E6" s="394"/>
      <c r="F6" s="456"/>
      <c r="G6" s="271"/>
    </row>
    <row r="7" spans="1:7" ht="15.75" customHeight="1" thickBot="1">
      <c r="A7" s="265"/>
      <c r="B7" s="273"/>
      <c r="C7" s="266"/>
      <c r="D7" s="265"/>
      <c r="E7" s="266"/>
      <c r="F7" s="275"/>
      <c r="G7" s="265"/>
    </row>
    <row r="8" spans="1:7" s="291" customFormat="1" ht="51" customHeight="1" thickBot="1">
      <c r="A8" s="492" t="s">
        <v>191</v>
      </c>
      <c r="B8" s="457" t="s">
        <v>204</v>
      </c>
      <c r="C8" s="458" t="s">
        <v>213</v>
      </c>
      <c r="D8" s="459" t="s">
        <v>214</v>
      </c>
      <c r="E8" s="458" t="s">
        <v>156</v>
      </c>
      <c r="F8" s="457" t="s">
        <v>212</v>
      </c>
      <c r="G8" s="272"/>
    </row>
    <row r="9" spans="1:7" ht="12.75">
      <c r="A9" s="507" t="s">
        <v>21</v>
      </c>
      <c r="B9" s="276"/>
      <c r="C9" s="250"/>
      <c r="D9" s="253"/>
      <c r="E9" s="250"/>
      <c r="F9" s="508"/>
      <c r="G9" s="265"/>
    </row>
    <row r="10" spans="1:7" ht="12.75">
      <c r="A10" s="509" t="s">
        <v>157</v>
      </c>
      <c r="B10" s="269">
        <v>52921</v>
      </c>
      <c r="C10" s="267"/>
      <c r="D10" s="267"/>
      <c r="E10" s="267"/>
      <c r="F10" s="508">
        <f>B10+C10+D10+E10</f>
        <v>52921</v>
      </c>
      <c r="G10" s="265"/>
    </row>
    <row r="11" spans="1:7" ht="12.75">
      <c r="A11" s="509"/>
      <c r="B11" s="269"/>
      <c r="C11" s="251"/>
      <c r="D11" s="267"/>
      <c r="E11" s="251"/>
      <c r="F11" s="508"/>
      <c r="G11" s="265"/>
    </row>
    <row r="12" spans="1:7" ht="12.75">
      <c r="A12" s="509" t="s">
        <v>158</v>
      </c>
      <c r="B12" s="269">
        <v>1608</v>
      </c>
      <c r="C12" s="267"/>
      <c r="D12" s="267"/>
      <c r="E12" s="277"/>
      <c r="F12" s="508">
        <f>B12+C12+D12+E12</f>
        <v>1608</v>
      </c>
      <c r="G12" s="265"/>
    </row>
    <row r="13" spans="1:7" ht="12.75">
      <c r="A13" s="507" t="s">
        <v>159</v>
      </c>
      <c r="B13" s="252">
        <v>1506</v>
      </c>
      <c r="C13" s="267"/>
      <c r="D13" s="267"/>
      <c r="E13" s="278"/>
      <c r="F13" s="510">
        <f>+B13-C13+E13</f>
        <v>1506</v>
      </c>
      <c r="G13" s="265"/>
    </row>
    <row r="14" spans="1:7" ht="12.75">
      <c r="A14" s="507" t="s">
        <v>160</v>
      </c>
      <c r="B14" s="252">
        <v>102</v>
      </c>
      <c r="C14" s="267"/>
      <c r="D14" s="267"/>
      <c r="E14" s="279"/>
      <c r="F14" s="510">
        <f>B14-E14</f>
        <v>102</v>
      </c>
      <c r="G14" s="265"/>
    </row>
    <row r="15" spans="1:7" ht="12.75">
      <c r="A15" s="509"/>
      <c r="B15" s="269"/>
      <c r="C15" s="251"/>
      <c r="D15" s="267"/>
      <c r="E15" s="251"/>
      <c r="F15" s="508"/>
      <c r="G15" s="265"/>
    </row>
    <row r="16" spans="1:7" ht="12.75">
      <c r="A16" s="509" t="s">
        <v>161</v>
      </c>
      <c r="B16" s="269">
        <v>11813</v>
      </c>
      <c r="C16" s="280"/>
      <c r="D16" s="267"/>
      <c r="E16" s="281"/>
      <c r="F16" s="508">
        <f>+B16-C16+E16</f>
        <v>11813</v>
      </c>
      <c r="G16" s="265"/>
    </row>
    <row r="17" spans="1:7" ht="12.75">
      <c r="A17" s="507" t="s">
        <v>162</v>
      </c>
      <c r="B17" s="252">
        <v>5292</v>
      </c>
      <c r="C17" s="251"/>
      <c r="D17" s="251"/>
      <c r="E17" s="251"/>
      <c r="F17" s="510">
        <f>+B17-C17-E17</f>
        <v>5292</v>
      </c>
      <c r="G17" s="265"/>
    </row>
    <row r="18" spans="1:7" ht="12.75">
      <c r="A18" s="507" t="s">
        <v>163</v>
      </c>
      <c r="B18" s="252">
        <v>252</v>
      </c>
      <c r="C18" s="283"/>
      <c r="D18" s="251"/>
      <c r="E18" s="284"/>
      <c r="F18" s="510">
        <f>B18+E18</f>
        <v>252</v>
      </c>
      <c r="G18" s="268"/>
    </row>
    <row r="19" spans="1:7" ht="12.75">
      <c r="A19" s="507" t="s">
        <v>164</v>
      </c>
      <c r="B19" s="252">
        <v>6269</v>
      </c>
      <c r="C19" s="285"/>
      <c r="D19" s="251"/>
      <c r="E19" s="286"/>
      <c r="F19" s="510">
        <f>B19+E19</f>
        <v>6269</v>
      </c>
      <c r="G19" s="268"/>
    </row>
    <row r="20" spans="1:7" ht="12.75">
      <c r="A20" s="511"/>
      <c r="B20" s="269"/>
      <c r="C20" s="283"/>
      <c r="D20" s="267"/>
      <c r="E20" s="283"/>
      <c r="F20" s="508"/>
      <c r="G20" s="268"/>
    </row>
    <row r="21" spans="1:7" ht="12.75">
      <c r="A21" s="512" t="s">
        <v>165</v>
      </c>
      <c r="B21" s="269">
        <v>0</v>
      </c>
      <c r="C21" s="283"/>
      <c r="D21" s="267"/>
      <c r="E21" s="281"/>
      <c r="F21" s="508">
        <f>+B21-C21+E21</f>
        <v>0</v>
      </c>
      <c r="G21" s="268"/>
    </row>
    <row r="22" spans="1:7" ht="12.75">
      <c r="A22" s="507"/>
      <c r="B22" s="269"/>
      <c r="C22" s="283"/>
      <c r="D22" s="267"/>
      <c r="E22" s="283"/>
      <c r="F22" s="508"/>
      <c r="G22" s="265"/>
    </row>
    <row r="23" spans="1:7" ht="12.75">
      <c r="A23" s="509" t="s">
        <v>166</v>
      </c>
      <c r="B23" s="282">
        <v>13069</v>
      </c>
      <c r="C23" s="267">
        <v>6</v>
      </c>
      <c r="D23" s="267"/>
      <c r="E23" s="281"/>
      <c r="F23" s="508">
        <f>+B23+C23+D23+E23</f>
        <v>13075</v>
      </c>
      <c r="G23" s="265"/>
    </row>
    <row r="24" spans="1:7" ht="12.75">
      <c r="A24" s="507"/>
      <c r="B24" s="269"/>
      <c r="C24" s="287"/>
      <c r="D24" s="267"/>
      <c r="E24" s="287"/>
      <c r="F24" s="508"/>
      <c r="G24" s="265"/>
    </row>
    <row r="25" spans="1:7" ht="12.75">
      <c r="A25" s="509" t="s">
        <v>167</v>
      </c>
      <c r="B25" s="288"/>
      <c r="C25" s="267">
        <v>17016</v>
      </c>
      <c r="D25" s="267"/>
      <c r="E25" s="267"/>
      <c r="F25" s="508"/>
      <c r="G25" s="265"/>
    </row>
    <row r="26" spans="1:7" ht="12.75">
      <c r="A26" s="513"/>
      <c r="B26" s="269"/>
      <c r="C26" s="287"/>
      <c r="D26" s="267"/>
      <c r="E26" s="287"/>
      <c r="F26" s="508"/>
      <c r="G26" s="265"/>
    </row>
    <row r="27" spans="1:7" ht="12.75">
      <c r="A27" s="509" t="s">
        <v>168</v>
      </c>
      <c r="B27" s="269">
        <v>17022</v>
      </c>
      <c r="C27" s="281">
        <v>-17022</v>
      </c>
      <c r="D27" s="267">
        <v>6487</v>
      </c>
      <c r="E27" s="267"/>
      <c r="F27" s="508">
        <f>SUM(D27)</f>
        <v>6487</v>
      </c>
      <c r="G27" s="265"/>
    </row>
    <row r="28" spans="1:7" ht="13.5" thickBot="1">
      <c r="A28" s="507"/>
      <c r="B28" s="289"/>
      <c r="C28" s="251"/>
      <c r="D28" s="290"/>
      <c r="E28" s="251"/>
      <c r="F28" s="508"/>
      <c r="G28" s="265"/>
    </row>
    <row r="29" spans="1:7" ht="12.75">
      <c r="A29" s="469"/>
      <c r="B29" s="468"/>
      <c r="C29" s="461"/>
      <c r="D29" s="465"/>
      <c r="E29" s="461"/>
      <c r="F29" s="514"/>
      <c r="G29" s="265"/>
    </row>
    <row r="30" spans="1:7" ht="12.75">
      <c r="A30" s="470" t="s">
        <v>144</v>
      </c>
      <c r="B30" s="463">
        <f>SUM(B10+B12+B16+B21+B25+B23+B27)</f>
        <v>96433</v>
      </c>
      <c r="C30" s="467">
        <f>SUM(C23:C27)</f>
        <v>0</v>
      </c>
      <c r="D30" s="463">
        <f>SUM(D10:D27)</f>
        <v>6487</v>
      </c>
      <c r="E30" s="462">
        <f>E16+E21+E23</f>
        <v>0</v>
      </c>
      <c r="F30" s="460">
        <f>F10+F12+F16+F21+F23+F27</f>
        <v>85904</v>
      </c>
      <c r="G30" s="270"/>
    </row>
    <row r="31" spans="1:7" ht="13.5" thickBot="1">
      <c r="A31" s="397" t="s">
        <v>21</v>
      </c>
      <c r="B31" s="396"/>
      <c r="C31" s="464"/>
      <c r="D31" s="466"/>
      <c r="E31" s="464"/>
      <c r="F31" s="515"/>
      <c r="G31" s="265"/>
    </row>
    <row r="32" spans="1:7" ht="12.75">
      <c r="A32" s="265"/>
      <c r="B32" s="273"/>
      <c r="C32" s="266"/>
      <c r="D32" s="265"/>
      <c r="E32" s="266"/>
      <c r="F32" s="275"/>
      <c r="G32" s="265"/>
    </row>
    <row r="33" spans="1:6" ht="12.75">
      <c r="A33" s="110"/>
      <c r="B33" s="274"/>
      <c r="C33" s="110"/>
      <c r="D33" s="110"/>
      <c r="E33" s="110"/>
      <c r="F33" s="274"/>
    </row>
    <row r="34" spans="1:6" ht="12.75">
      <c r="A34" s="110"/>
      <c r="B34" s="274"/>
      <c r="C34" s="110"/>
      <c r="D34" s="110"/>
      <c r="E34" s="110"/>
      <c r="F34" s="274"/>
    </row>
    <row r="35" spans="1:6" ht="12.75">
      <c r="A35" s="110"/>
      <c r="B35" s="274"/>
      <c r="C35" s="110"/>
      <c r="D35" s="110"/>
      <c r="E35" s="110"/>
      <c r="F35" s="274"/>
    </row>
    <row r="36" spans="1:6" ht="12.75">
      <c r="A36" s="110"/>
      <c r="B36" s="274"/>
      <c r="C36" s="110"/>
      <c r="D36" s="110"/>
      <c r="E36" s="110"/>
      <c r="F36" s="274"/>
    </row>
    <row r="37" spans="1:6" ht="12.75">
      <c r="A37" s="110"/>
      <c r="B37" s="274"/>
      <c r="C37" s="110"/>
      <c r="D37" s="110"/>
      <c r="E37" s="110"/>
      <c r="F37" s="274"/>
    </row>
    <row r="38" spans="1:6" ht="12.75">
      <c r="A38" s="110"/>
      <c r="B38" s="274"/>
      <c r="C38" s="110"/>
      <c r="D38" s="110"/>
      <c r="E38" s="110"/>
      <c r="F38" s="274"/>
    </row>
    <row r="39" spans="1:6" ht="12.75">
      <c r="A39" s="110"/>
      <c r="B39" s="274"/>
      <c r="C39" s="110"/>
      <c r="D39" s="110"/>
      <c r="E39" s="110"/>
      <c r="F39" s="274"/>
    </row>
    <row r="40" spans="1:6" ht="12.75">
      <c r="A40" s="110"/>
      <c r="B40" s="274"/>
      <c r="C40" s="110"/>
      <c r="D40" s="110"/>
      <c r="E40" s="110"/>
      <c r="F40" s="274"/>
    </row>
    <row r="41" spans="1:6" ht="12.75">
      <c r="A41" s="110"/>
      <c r="B41" s="274"/>
      <c r="C41" s="110"/>
      <c r="D41" s="110"/>
      <c r="E41" s="110"/>
      <c r="F41" s="274"/>
    </row>
    <row r="42" spans="1:6" ht="12.75">
      <c r="A42" s="110"/>
      <c r="B42" s="274"/>
      <c r="C42" s="110"/>
      <c r="D42" s="110"/>
      <c r="E42" s="110"/>
      <c r="F42" s="274"/>
    </row>
  </sheetData>
  <printOptions horizontalCentered="1" verticalCentered="1"/>
  <pageMargins left="0.7874015748031497" right="0.7874015748031497" top="0.7480314960629921" bottom="0.7480314960629921" header="0.4330708661417323" footer="0.5118110236220472"/>
  <pageSetup fitToHeight="1" fitToWidth="1" horizontalDpi="360" verticalDpi="360" orientation="landscape" paperSize="9" r:id="rId2"/>
  <headerFooter alignWithMargins="0">
    <oddHeader>&amp;R&amp;"Arial,Gras"&amp;18NOTES ANNEXES AUX COMPTES SOCIAUX &amp;B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71"/>
  <sheetViews>
    <sheetView zoomScale="75" zoomScaleNormal="75" workbookViewId="0" topLeftCell="A1">
      <selection activeCell="A26" sqref="A26"/>
    </sheetView>
  </sheetViews>
  <sheetFormatPr defaultColWidth="11.421875" defaultRowHeight="12.75"/>
  <cols>
    <col min="1" max="1" width="4.28125" style="178" customWidth="1"/>
    <col min="2" max="2" width="11.421875" style="178" customWidth="1"/>
    <col min="3" max="3" width="12.7109375" style="178" customWidth="1"/>
    <col min="4" max="4" width="19.421875" style="178" customWidth="1"/>
    <col min="5" max="5" width="10.57421875" style="178" customWidth="1"/>
    <col min="6" max="6" width="13.28125" style="178" customWidth="1"/>
    <col min="7" max="7" width="14.28125" style="178" customWidth="1"/>
    <col min="8" max="8" width="13.00390625" style="178" customWidth="1"/>
    <col min="9" max="9" width="12.421875" style="178" customWidth="1"/>
    <col min="10" max="10" width="14.8515625" style="178" customWidth="1"/>
    <col min="11" max="11" width="12.28125" style="178" customWidth="1"/>
    <col min="12" max="12" width="11.8515625" style="178" customWidth="1"/>
    <col min="13" max="13" width="12.7109375" style="178" customWidth="1"/>
    <col min="14" max="16384" width="11.421875" style="178" customWidth="1"/>
  </cols>
  <sheetData>
    <row r="1" ht="15.75" customHeight="1">
      <c r="B1" s="179"/>
    </row>
    <row r="2" ht="15.75" customHeight="1">
      <c r="B2" s="179"/>
    </row>
    <row r="3" ht="15.75" customHeight="1">
      <c r="B3" s="179"/>
    </row>
    <row r="4" ht="15.75" customHeight="1">
      <c r="B4" s="179"/>
    </row>
    <row r="5" spans="1:10" ht="15.75" customHeight="1">
      <c r="A5" s="180"/>
      <c r="B5" s="183"/>
      <c r="C5" s="181"/>
      <c r="D5" s="182"/>
      <c r="E5" s="181"/>
      <c r="G5" s="179"/>
      <c r="H5" s="182"/>
      <c r="I5" s="181"/>
      <c r="J5" s="181"/>
    </row>
    <row r="6" spans="1:12" ht="15.75" customHeight="1">
      <c r="A6" s="673" t="s">
        <v>236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</row>
    <row r="7" ht="15.75" customHeight="1" thickBot="1"/>
    <row r="8" spans="1:12" ht="16.5" thickBot="1">
      <c r="A8" s="664" t="s">
        <v>222</v>
      </c>
      <c r="B8" s="665"/>
      <c r="C8" s="665"/>
      <c r="D8" s="665"/>
      <c r="E8" s="666"/>
      <c r="F8" s="493"/>
      <c r="G8" s="554">
        <v>39447</v>
      </c>
      <c r="H8" s="494"/>
      <c r="I8" s="493"/>
      <c r="J8" s="554">
        <v>39629</v>
      </c>
      <c r="K8" s="494"/>
      <c r="L8" s="661" t="s">
        <v>54</v>
      </c>
    </row>
    <row r="9" spans="1:12" ht="15.75">
      <c r="A9" s="667"/>
      <c r="B9" s="668"/>
      <c r="C9" s="668"/>
      <c r="D9" s="668"/>
      <c r="E9" s="669"/>
      <c r="F9" s="472" t="s">
        <v>127</v>
      </c>
      <c r="G9" s="473" t="s">
        <v>113</v>
      </c>
      <c r="H9" s="476"/>
      <c r="I9" s="472" t="s">
        <v>127</v>
      </c>
      <c r="J9" s="473" t="s">
        <v>113</v>
      </c>
      <c r="K9" s="476"/>
      <c r="L9" s="662"/>
    </row>
    <row r="10" spans="1:12" ht="15.75">
      <c r="A10" s="667"/>
      <c r="B10" s="668"/>
      <c r="C10" s="668"/>
      <c r="D10" s="668"/>
      <c r="E10" s="669"/>
      <c r="F10" s="472" t="s">
        <v>114</v>
      </c>
      <c r="G10" s="473" t="s">
        <v>114</v>
      </c>
      <c r="H10" s="476" t="s">
        <v>115</v>
      </c>
      <c r="I10" s="472" t="s">
        <v>114</v>
      </c>
      <c r="J10" s="473" t="s">
        <v>114</v>
      </c>
      <c r="K10" s="476" t="s">
        <v>115</v>
      </c>
      <c r="L10" s="662"/>
    </row>
    <row r="11" spans="1:12" ht="16.5" thickBot="1">
      <c r="A11" s="670"/>
      <c r="B11" s="671"/>
      <c r="C11" s="671"/>
      <c r="D11" s="671"/>
      <c r="E11" s="672"/>
      <c r="F11" s="474" t="s">
        <v>116</v>
      </c>
      <c r="G11" s="475" t="s">
        <v>116</v>
      </c>
      <c r="H11" s="495"/>
      <c r="I11" s="474" t="s">
        <v>116</v>
      </c>
      <c r="J11" s="475" t="s">
        <v>116</v>
      </c>
      <c r="K11" s="495"/>
      <c r="L11" s="663"/>
    </row>
    <row r="12" spans="1:12" ht="12.75">
      <c r="A12" s="186"/>
      <c r="B12" s="187"/>
      <c r="C12" s="187"/>
      <c r="D12" s="187"/>
      <c r="E12" s="187"/>
      <c r="F12" s="193"/>
      <c r="G12" s="193"/>
      <c r="H12" s="471"/>
      <c r="I12" s="193"/>
      <c r="J12" s="193"/>
      <c r="K12" s="471"/>
      <c r="L12" s="191"/>
    </row>
    <row r="13" spans="1:12" ht="12.75">
      <c r="A13" s="192" t="s">
        <v>117</v>
      </c>
      <c r="B13" s="187"/>
      <c r="C13" s="187"/>
      <c r="D13" s="187"/>
      <c r="E13" s="187"/>
      <c r="F13" s="193">
        <v>-28330</v>
      </c>
      <c r="G13" s="193"/>
      <c r="H13" s="193">
        <f>SUM(F13:G13)</f>
        <v>-28330</v>
      </c>
      <c r="I13" s="193">
        <v>-17847</v>
      </c>
      <c r="J13" s="193"/>
      <c r="K13" s="193">
        <f>SUM(I13:J13)</f>
        <v>-17847</v>
      </c>
      <c r="L13" s="194" t="s">
        <v>118</v>
      </c>
    </row>
    <row r="14" spans="1:12" ht="12.75">
      <c r="A14" s="186"/>
      <c r="B14" s="187"/>
      <c r="C14" s="187"/>
      <c r="D14" s="187"/>
      <c r="E14" s="187"/>
      <c r="F14" s="555"/>
      <c r="G14" s="555"/>
      <c r="H14" s="193">
        <f>F14+G14</f>
        <v>0</v>
      </c>
      <c r="I14" s="555"/>
      <c r="J14" s="555"/>
      <c r="K14" s="193">
        <f>I14+J14</f>
        <v>0</v>
      </c>
      <c r="L14" s="191"/>
    </row>
    <row r="15" spans="1:12" ht="12.75">
      <c r="A15" s="196" t="s">
        <v>57</v>
      </c>
      <c r="B15" s="189"/>
      <c r="C15" s="189"/>
      <c r="D15" s="189"/>
      <c r="E15" s="187"/>
      <c r="F15" s="197">
        <v>70951</v>
      </c>
      <c r="G15" s="193">
        <f>39239-4246</f>
        <v>34993</v>
      </c>
      <c r="H15" s="193">
        <f>F15+G15</f>
        <v>105944</v>
      </c>
      <c r="I15" s="197">
        <v>37373</v>
      </c>
      <c r="J15" s="193">
        <f>19352-1867</f>
        <v>17485</v>
      </c>
      <c r="K15" s="193">
        <f>I15+J15</f>
        <v>54858</v>
      </c>
      <c r="L15" s="194" t="s">
        <v>119</v>
      </c>
    </row>
    <row r="16" spans="1:12" ht="12.75">
      <c r="A16" s="192"/>
      <c r="B16" s="189"/>
      <c r="C16" s="189"/>
      <c r="D16" s="189"/>
      <c r="F16" s="193"/>
      <c r="G16" s="193"/>
      <c r="H16" s="193"/>
      <c r="I16" s="193"/>
      <c r="J16" s="193"/>
      <c r="K16" s="193"/>
      <c r="L16" s="191"/>
    </row>
    <row r="17" spans="1:12" ht="12.75">
      <c r="A17" s="192" t="s">
        <v>178</v>
      </c>
      <c r="B17" s="189"/>
      <c r="C17" s="189"/>
      <c r="D17" s="189"/>
      <c r="F17" s="193">
        <f>SUM(F18:F20)</f>
        <v>-1965</v>
      </c>
      <c r="G17" s="193"/>
      <c r="H17" s="193">
        <f>F17+G17</f>
        <v>-1965</v>
      </c>
      <c r="I17" s="193">
        <f>SUM(I18:I20)</f>
        <v>-1389</v>
      </c>
      <c r="J17" s="193"/>
      <c r="K17" s="193">
        <f>I17+J17</f>
        <v>-1389</v>
      </c>
      <c r="L17" s="191"/>
    </row>
    <row r="18" spans="1:12" ht="12.75">
      <c r="A18" s="186"/>
      <c r="B18" s="187"/>
      <c r="C18" s="187" t="s">
        <v>169</v>
      </c>
      <c r="D18" s="189"/>
      <c r="F18" s="195">
        <v>-21</v>
      </c>
      <c r="G18" s="195"/>
      <c r="H18" s="195">
        <f>F18+G18</f>
        <v>-21</v>
      </c>
      <c r="I18" s="195">
        <v>-10</v>
      </c>
      <c r="J18" s="195"/>
      <c r="K18" s="195">
        <f>I18+J18</f>
        <v>-10</v>
      </c>
      <c r="L18" s="191"/>
    </row>
    <row r="19" spans="1:12" ht="12.75">
      <c r="A19" s="186"/>
      <c r="B19" s="187"/>
      <c r="C19" s="187" t="s">
        <v>179</v>
      </c>
      <c r="D19" s="189"/>
      <c r="F19" s="195">
        <v>-1944</v>
      </c>
      <c r="G19" s="195"/>
      <c r="H19" s="195">
        <f>F19+G19</f>
        <v>-1944</v>
      </c>
      <c r="I19" s="195">
        <v>-1379</v>
      </c>
      <c r="J19" s="195"/>
      <c r="K19" s="195">
        <f>I19+J19</f>
        <v>-1379</v>
      </c>
      <c r="L19" s="191"/>
    </row>
    <row r="20" spans="1:12" ht="12.75">
      <c r="A20" s="186"/>
      <c r="B20" s="187"/>
      <c r="C20" s="187" t="s">
        <v>180</v>
      </c>
      <c r="D20" s="189"/>
      <c r="F20" s="195"/>
      <c r="G20" s="195"/>
      <c r="H20" s="195">
        <f>F20+G20</f>
        <v>0</v>
      </c>
      <c r="I20" s="195"/>
      <c r="J20" s="195"/>
      <c r="K20" s="195">
        <f>I20+J20</f>
        <v>0</v>
      </c>
      <c r="L20" s="191"/>
    </row>
    <row r="21" spans="1:12" ht="12.75">
      <c r="A21" s="192"/>
      <c r="B21" s="189"/>
      <c r="C21" s="189"/>
      <c r="D21" s="189"/>
      <c r="F21" s="193"/>
      <c r="G21" s="193"/>
      <c r="H21" s="193"/>
      <c r="I21" s="193"/>
      <c r="J21" s="193"/>
      <c r="K21" s="193"/>
      <c r="L21" s="191"/>
    </row>
    <row r="22" spans="1:12" ht="12.75">
      <c r="A22" s="196" t="s">
        <v>120</v>
      </c>
      <c r="B22" s="188"/>
      <c r="C22" s="188"/>
      <c r="D22" s="188"/>
      <c r="E22" s="183"/>
      <c r="F22" s="193"/>
      <c r="G22" s="193"/>
      <c r="H22" s="195">
        <f>F22+G22</f>
        <v>0</v>
      </c>
      <c r="I22" s="193"/>
      <c r="J22" s="193"/>
      <c r="K22" s="195">
        <f>I22+J22</f>
        <v>0</v>
      </c>
      <c r="L22" s="191"/>
    </row>
    <row r="23" spans="1:12" ht="12.75">
      <c r="A23" s="192" t="s">
        <v>121</v>
      </c>
      <c r="B23" s="198"/>
      <c r="C23" s="189"/>
      <c r="D23" s="189"/>
      <c r="F23" s="197">
        <v>3273</v>
      </c>
      <c r="G23" s="193"/>
      <c r="H23" s="197">
        <f>SUM(F23)</f>
        <v>3273</v>
      </c>
      <c r="I23" s="197">
        <v>2055</v>
      </c>
      <c r="J23" s="193"/>
      <c r="K23" s="197">
        <f>SUM(I23)</f>
        <v>2055</v>
      </c>
      <c r="L23" s="191">
        <v>20</v>
      </c>
    </row>
    <row r="24" spans="1:12" ht="12.75">
      <c r="A24" s="192"/>
      <c r="B24" s="189"/>
      <c r="C24" s="189"/>
      <c r="D24" s="189"/>
      <c r="F24" s="193"/>
      <c r="G24" s="193"/>
      <c r="H24" s="193"/>
      <c r="I24" s="193"/>
      <c r="J24" s="193"/>
      <c r="K24" s="193"/>
      <c r="L24" s="191"/>
    </row>
    <row r="25" spans="1:12" ht="12.75">
      <c r="A25" s="196" t="s">
        <v>122</v>
      </c>
      <c r="B25" s="198"/>
      <c r="C25" s="199"/>
      <c r="D25" s="189"/>
      <c r="F25" s="193">
        <v>979</v>
      </c>
      <c r="G25" s="193"/>
      <c r="H25" s="193">
        <f>SUM(F25:G25)</f>
        <v>979</v>
      </c>
      <c r="I25" s="193">
        <v>174</v>
      </c>
      <c r="J25" s="193"/>
      <c r="K25" s="193">
        <f>SUM(I25:J25)</f>
        <v>174</v>
      </c>
      <c r="L25" s="194" t="s">
        <v>123</v>
      </c>
    </row>
    <row r="26" spans="1:12" ht="12.75">
      <c r="A26" s="186"/>
      <c r="B26" s="198"/>
      <c r="C26" s="189"/>
      <c r="D26" s="189"/>
      <c r="F26" s="193"/>
      <c r="G26" s="193"/>
      <c r="H26" s="193"/>
      <c r="I26" s="193"/>
      <c r="J26" s="193"/>
      <c r="K26" s="193"/>
      <c r="L26" s="191"/>
    </row>
    <row r="27" spans="1:12" ht="12.75">
      <c r="A27" s="192" t="s">
        <v>170</v>
      </c>
      <c r="B27" s="198"/>
      <c r="C27" s="199"/>
      <c r="D27" s="199"/>
      <c r="F27" s="193">
        <v>105</v>
      </c>
      <c r="G27" s="193"/>
      <c r="H27" s="193">
        <f>SUM(F27:G27)</f>
        <v>105</v>
      </c>
      <c r="I27" s="193">
        <v>44</v>
      </c>
      <c r="J27" s="193"/>
      <c r="K27" s="193">
        <f>SUM(I27:J27)</f>
        <v>44</v>
      </c>
      <c r="L27" s="191">
        <v>20</v>
      </c>
    </row>
    <row r="28" spans="1:12" ht="12.75">
      <c r="A28" s="192" t="s">
        <v>171</v>
      </c>
      <c r="B28" s="198"/>
      <c r="C28" s="189"/>
      <c r="D28" s="189"/>
      <c r="F28" s="193"/>
      <c r="G28" s="193"/>
      <c r="H28" s="193"/>
      <c r="I28" s="193"/>
      <c r="J28" s="193"/>
      <c r="K28" s="193"/>
      <c r="L28" s="191"/>
    </row>
    <row r="29" spans="1:12" ht="12.75">
      <c r="A29" s="200"/>
      <c r="B29" s="189"/>
      <c r="C29" s="189"/>
      <c r="D29" s="189"/>
      <c r="F29" s="193"/>
      <c r="G29" s="193"/>
      <c r="H29" s="193"/>
      <c r="I29" s="193"/>
      <c r="J29" s="193"/>
      <c r="K29" s="193"/>
      <c r="L29" s="191"/>
    </row>
    <row r="30" spans="1:12" ht="12.75">
      <c r="A30" s="192" t="s">
        <v>170</v>
      </c>
      <c r="B30" s="189"/>
      <c r="C30" s="189"/>
      <c r="D30" s="189"/>
      <c r="F30" s="193">
        <f>+F32+F33</f>
        <v>-75</v>
      </c>
      <c r="G30" s="193"/>
      <c r="H30" s="193">
        <f>+H32+H33</f>
        <v>-75</v>
      </c>
      <c r="I30" s="193">
        <f>+I32+I33</f>
        <v>-16</v>
      </c>
      <c r="J30" s="193"/>
      <c r="K30" s="193">
        <f>+K32+K33</f>
        <v>-16</v>
      </c>
      <c r="L30" s="191">
        <v>20</v>
      </c>
    </row>
    <row r="31" spans="1:12" ht="12.75">
      <c r="A31" s="192" t="s">
        <v>172</v>
      </c>
      <c r="B31" s="189"/>
      <c r="C31" s="189"/>
      <c r="D31" s="189"/>
      <c r="F31" s="193"/>
      <c r="G31" s="193"/>
      <c r="H31" s="195">
        <f>SUM(F31:G31)</f>
        <v>0</v>
      </c>
      <c r="I31" s="193"/>
      <c r="J31" s="193"/>
      <c r="K31" s="195">
        <f>SUM(I31:J31)</f>
        <v>0</v>
      </c>
      <c r="L31" s="191"/>
    </row>
    <row r="32" spans="1:12" ht="12.75">
      <c r="A32" s="192"/>
      <c r="B32" s="189" t="s">
        <v>173</v>
      </c>
      <c r="C32" s="189"/>
      <c r="F32" s="195"/>
      <c r="G32" s="195"/>
      <c r="H32" s="195">
        <f>SUM(F32:G32)</f>
        <v>0</v>
      </c>
      <c r="I32" s="195"/>
      <c r="J32" s="195"/>
      <c r="K32" s="195">
        <f>SUM(I32:J32)</f>
        <v>0</v>
      </c>
      <c r="L32" s="191"/>
    </row>
    <row r="33" spans="1:12" ht="12.75">
      <c r="A33" s="192"/>
      <c r="B33" s="292" t="s">
        <v>174</v>
      </c>
      <c r="F33" s="195">
        <f>SUM(F34:F37)</f>
        <v>-75</v>
      </c>
      <c r="G33" s="195"/>
      <c r="H33" s="195">
        <f>SUM(F33:G33)</f>
        <v>-75</v>
      </c>
      <c r="I33" s="195">
        <f>SUM(I34:I37)</f>
        <v>-16</v>
      </c>
      <c r="J33" s="195"/>
      <c r="K33" s="195">
        <f>SUM(I33:J33)</f>
        <v>-16</v>
      </c>
      <c r="L33" s="191"/>
    </row>
    <row r="34" spans="1:12" ht="12.75">
      <c r="A34" s="192"/>
      <c r="B34" s="292"/>
      <c r="C34" s="178" t="s">
        <v>176</v>
      </c>
      <c r="F34" s="195"/>
      <c r="G34" s="195"/>
      <c r="H34" s="195"/>
      <c r="I34" s="195"/>
      <c r="J34" s="195"/>
      <c r="K34" s="195"/>
      <c r="L34" s="191"/>
    </row>
    <row r="35" spans="1:12" ht="12.75">
      <c r="A35" s="192"/>
      <c r="B35" s="292"/>
      <c r="C35" s="178" t="s">
        <v>177</v>
      </c>
      <c r="F35" s="195"/>
      <c r="G35" s="195"/>
      <c r="H35" s="195"/>
      <c r="I35" s="195"/>
      <c r="J35" s="195"/>
      <c r="K35" s="195"/>
      <c r="L35" s="191"/>
    </row>
    <row r="36" spans="1:12" ht="12.75">
      <c r="A36" s="192"/>
      <c r="B36" s="292"/>
      <c r="C36" s="178" t="s">
        <v>175</v>
      </c>
      <c r="F36" s="195">
        <v>-75</v>
      </c>
      <c r="G36" s="195"/>
      <c r="H36" s="195">
        <f>SUM(F36:G36)</f>
        <v>-75</v>
      </c>
      <c r="I36" s="195">
        <v>-16</v>
      </c>
      <c r="J36" s="195"/>
      <c r="K36" s="195">
        <f>SUM(I36:J36)</f>
        <v>-16</v>
      </c>
      <c r="L36" s="191"/>
    </row>
    <row r="37" spans="1:12" ht="12.75">
      <c r="A37" s="192"/>
      <c r="B37" s="292"/>
      <c r="C37" s="178" t="s">
        <v>177</v>
      </c>
      <c r="F37" s="195"/>
      <c r="G37" s="195"/>
      <c r="H37" s="195"/>
      <c r="I37" s="195"/>
      <c r="J37" s="195"/>
      <c r="K37" s="195"/>
      <c r="L37" s="191"/>
    </row>
    <row r="38" spans="1:12" ht="11.25" customHeight="1">
      <c r="A38" s="192"/>
      <c r="B38" s="292"/>
      <c r="F38" s="195"/>
      <c r="G38" s="195"/>
      <c r="H38" s="195"/>
      <c r="I38" s="195"/>
      <c r="J38" s="195"/>
      <c r="K38" s="195"/>
      <c r="L38" s="191"/>
    </row>
    <row r="39" spans="1:12" ht="12.75" hidden="1">
      <c r="A39" s="192"/>
      <c r="B39" s="292"/>
      <c r="F39" s="195"/>
      <c r="G39" s="195"/>
      <c r="H39" s="195"/>
      <c r="I39" s="195"/>
      <c r="J39" s="195"/>
      <c r="K39" s="195"/>
      <c r="L39" s="191"/>
    </row>
    <row r="40" spans="1:12" ht="12.75" hidden="1">
      <c r="A40" s="201"/>
      <c r="B40" s="202"/>
      <c r="C40" s="202"/>
      <c r="D40" s="202"/>
      <c r="E40" s="202"/>
      <c r="F40" s="203"/>
      <c r="G40" s="203"/>
      <c r="H40" s="203"/>
      <c r="I40" s="203"/>
      <c r="J40" s="203"/>
      <c r="K40" s="203"/>
      <c r="L40" s="204"/>
    </row>
    <row r="41" spans="1:12" ht="12.75">
      <c r="A41" s="192"/>
      <c r="F41" s="195"/>
      <c r="G41" s="195"/>
      <c r="H41" s="195"/>
      <c r="I41" s="195"/>
      <c r="J41" s="195"/>
      <c r="K41" s="195"/>
      <c r="L41" s="185"/>
    </row>
    <row r="42" spans="1:12" ht="12.75">
      <c r="A42" s="192" t="s">
        <v>124</v>
      </c>
      <c r="B42" s="198"/>
      <c r="C42" s="189"/>
      <c r="D42" s="189"/>
      <c r="E42" s="187"/>
      <c r="F42" s="193">
        <f>F27+F25+F15+F13+F23+F30+F17</f>
        <v>44938</v>
      </c>
      <c r="G42" s="193">
        <f>G27+G25+G15+G13+G23</f>
        <v>34993</v>
      </c>
      <c r="H42" s="193">
        <f>H27+H25+H15+H13+H23+H17+H30</f>
        <v>79931</v>
      </c>
      <c r="I42" s="193">
        <f>I27+I25+I15+I13+I23+I30+I17</f>
        <v>20394</v>
      </c>
      <c r="J42" s="193">
        <f>J27+J25+J15+J13+J23</f>
        <v>17485</v>
      </c>
      <c r="K42" s="193">
        <f>K27+K25+K15+K13+K23+K17+K30</f>
        <v>37879</v>
      </c>
      <c r="L42" s="185"/>
    </row>
    <row r="43" spans="1:12" ht="12.75">
      <c r="A43" s="201"/>
      <c r="B43" s="202"/>
      <c r="C43" s="202"/>
      <c r="D43" s="202"/>
      <c r="E43" s="202"/>
      <c r="F43" s="203"/>
      <c r="G43" s="203"/>
      <c r="H43" s="203"/>
      <c r="I43" s="203"/>
      <c r="J43" s="203"/>
      <c r="K43" s="203"/>
      <c r="L43" s="190"/>
    </row>
    <row r="44" spans="1:12" s="306" customFormat="1" ht="12.75">
      <c r="A44" s="304"/>
      <c r="B44" s="305"/>
      <c r="C44" s="305"/>
      <c r="F44" s="307"/>
      <c r="G44" s="307"/>
      <c r="H44" s="307"/>
      <c r="I44" s="307"/>
      <c r="J44" s="307"/>
      <c r="K44" s="307"/>
      <c r="L44" s="308"/>
    </row>
    <row r="45" spans="1:12" s="306" customFormat="1" ht="12.75">
      <c r="A45" s="309" t="s">
        <v>125</v>
      </c>
      <c r="F45" s="310">
        <f>1813-2</f>
        <v>1811</v>
      </c>
      <c r="G45" s="307"/>
      <c r="H45" s="310">
        <f>SUM(F45)</f>
        <v>1811</v>
      </c>
      <c r="I45" s="310">
        <v>652</v>
      </c>
      <c r="J45" s="307"/>
      <c r="K45" s="310">
        <f>SUM(I45)</f>
        <v>652</v>
      </c>
      <c r="L45" s="308"/>
    </row>
    <row r="46" spans="1:12" s="306" customFormat="1" ht="12.75">
      <c r="A46" s="311"/>
      <c r="B46" s="312"/>
      <c r="C46" s="312"/>
      <c r="D46" s="312"/>
      <c r="E46" s="313"/>
      <c r="F46" s="314"/>
      <c r="G46" s="314"/>
      <c r="H46" s="314"/>
      <c r="I46" s="314"/>
      <c r="J46" s="314"/>
      <c r="K46" s="314"/>
      <c r="L46" s="315"/>
    </row>
    <row r="47" spans="1:12" ht="12.75">
      <c r="A47" s="200"/>
      <c r="F47" s="195"/>
      <c r="G47" s="195"/>
      <c r="H47" s="195"/>
      <c r="I47" s="195"/>
      <c r="J47" s="195"/>
      <c r="K47" s="195"/>
      <c r="L47" s="185"/>
    </row>
    <row r="48" spans="1:12" ht="12.75">
      <c r="A48" s="192" t="s">
        <v>107</v>
      </c>
      <c r="B48" s="187"/>
      <c r="C48" s="187"/>
      <c r="D48" s="187"/>
      <c r="E48" s="187"/>
      <c r="F48" s="193">
        <f>F42+F45</f>
        <v>46749</v>
      </c>
      <c r="G48" s="193">
        <f>G42</f>
        <v>34993</v>
      </c>
      <c r="H48" s="193">
        <f>H42+H45</f>
        <v>81742</v>
      </c>
      <c r="I48" s="193">
        <f>I42+I45</f>
        <v>21046</v>
      </c>
      <c r="J48" s="193">
        <f>J42</f>
        <v>17485</v>
      </c>
      <c r="K48" s="193">
        <f>K42+K45</f>
        <v>38531</v>
      </c>
      <c r="L48" s="185"/>
    </row>
    <row r="49" spans="1:12" ht="12.75">
      <c r="A49" s="201"/>
      <c r="B49" s="202"/>
      <c r="C49" s="202"/>
      <c r="D49" s="202"/>
      <c r="E49" s="202"/>
      <c r="F49" s="203"/>
      <c r="G49" s="203"/>
      <c r="H49" s="203"/>
      <c r="I49" s="203"/>
      <c r="J49" s="203"/>
      <c r="K49" s="203"/>
      <c r="L49" s="190"/>
    </row>
    <row r="50" spans="1:7" ht="12.75">
      <c r="A50" s="189"/>
      <c r="G50" s="184"/>
    </row>
    <row r="52" ht="12.75">
      <c r="A52" s="189"/>
    </row>
    <row r="53" ht="12.75">
      <c r="A53" s="189"/>
    </row>
    <row r="54" ht="12.75">
      <c r="A54" s="189"/>
    </row>
    <row r="55" ht="12.75">
      <c r="A55" s="189"/>
    </row>
    <row r="56" ht="12.75">
      <c r="A56" s="189"/>
    </row>
    <row r="57" ht="12.75">
      <c r="A57" s="189"/>
    </row>
    <row r="58" ht="12.75">
      <c r="A58" s="189"/>
    </row>
    <row r="59" ht="12.75">
      <c r="A59" s="189"/>
    </row>
    <row r="60" ht="12.75">
      <c r="A60" s="189"/>
    </row>
    <row r="61" ht="12.75">
      <c r="A61" s="189"/>
    </row>
    <row r="62" ht="12.75">
      <c r="A62" s="189"/>
    </row>
    <row r="63" ht="12.75">
      <c r="A63" s="189"/>
    </row>
    <row r="64" ht="12.75">
      <c r="A64" s="189"/>
    </row>
    <row r="65" ht="12.75">
      <c r="A65" s="189"/>
    </row>
    <row r="66" ht="12.75">
      <c r="A66" s="189"/>
    </row>
    <row r="67" ht="12.75">
      <c r="A67" s="189"/>
    </row>
    <row r="68" ht="12.75">
      <c r="A68" s="189"/>
    </row>
    <row r="69" ht="12.75">
      <c r="A69" s="189"/>
    </row>
    <row r="70" ht="12.75">
      <c r="A70" s="189"/>
    </row>
    <row r="71" ht="12.75">
      <c r="A71" s="189"/>
    </row>
  </sheetData>
  <mergeCells count="3">
    <mergeCell ref="L8:L11"/>
    <mergeCell ref="A8:E11"/>
    <mergeCell ref="A6:L6"/>
  </mergeCells>
  <printOptions horizontalCentered="1" verticalCentered="1"/>
  <pageMargins left="0.3937007874015748" right="0.3937007874015748" top="0.2755905511811024" bottom="0.2755905511811024" header="0.35433070866141736" footer="0.31496062992125984"/>
  <pageSetup fitToHeight="1" fitToWidth="1" horizontalDpi="300" verticalDpi="300" orientation="landscape" paperSize="9" scale="90" r:id="rId2"/>
  <headerFooter alignWithMargins="0">
    <oddHeader>&amp;R&amp;"Arial,Gras"&amp;18NOTES ANNEXES AUX COMPTES SOCIAUX &amp;B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88"/>
  <sheetViews>
    <sheetView workbookViewId="0" topLeftCell="A5">
      <selection activeCell="A26" sqref="A26"/>
    </sheetView>
  </sheetViews>
  <sheetFormatPr defaultColWidth="11.421875" defaultRowHeight="12.75"/>
  <cols>
    <col min="1" max="1" width="8.57421875" style="302" customWidth="1"/>
    <col min="2" max="2" width="4.28125" style="111" customWidth="1"/>
    <col min="3" max="3" width="11.421875" style="111" customWidth="1"/>
    <col min="4" max="4" width="12.7109375" style="111" customWidth="1"/>
    <col min="5" max="5" width="20.28125" style="111" customWidth="1"/>
    <col min="6" max="6" width="10.421875" style="111" customWidth="1"/>
    <col min="7" max="7" width="9.140625" style="111" customWidth="1"/>
    <col min="8" max="9" width="14.421875" style="111" bestFit="1" customWidth="1"/>
    <col min="10" max="10" width="3.00390625" style="111" hidden="1" customWidth="1"/>
    <col min="11" max="16384" width="11.421875" style="111" customWidth="1"/>
  </cols>
  <sheetData>
    <row r="1" ht="12.75">
      <c r="A1" s="301"/>
    </row>
    <row r="2" ht="26.25">
      <c r="C2" s="477"/>
    </row>
    <row r="3" ht="15.75" customHeight="1">
      <c r="C3" s="477"/>
    </row>
    <row r="4" ht="15.75" customHeight="1">
      <c r="C4" s="477"/>
    </row>
    <row r="5" ht="15.75" customHeight="1">
      <c r="C5" s="477"/>
    </row>
    <row r="6" spans="1:10" ht="15.75">
      <c r="A6" s="333"/>
      <c r="B6" s="334"/>
      <c r="C6" s="337" t="s">
        <v>53</v>
      </c>
      <c r="D6" s="337"/>
      <c r="E6" s="335"/>
      <c r="F6" s="336"/>
      <c r="G6" s="336"/>
      <c r="H6" s="336"/>
      <c r="I6" s="336"/>
      <c r="J6" s="112"/>
    </row>
    <row r="7" spans="1:10" s="486" customFormat="1" ht="16.5" thickBot="1">
      <c r="A7" s="480"/>
      <c r="B7" s="481"/>
      <c r="C7" s="482"/>
      <c r="D7" s="482"/>
      <c r="E7" s="483"/>
      <c r="F7" s="484"/>
      <c r="G7" s="484"/>
      <c r="H7" s="484"/>
      <c r="I7" s="484"/>
      <c r="J7" s="485"/>
    </row>
    <row r="8" spans="1:10" ht="12.75">
      <c r="A8" s="566" t="s">
        <v>54</v>
      </c>
      <c r="B8" s="572" t="s">
        <v>143</v>
      </c>
      <c r="C8" s="572"/>
      <c r="D8" s="572"/>
      <c r="E8" s="572"/>
      <c r="F8" s="572"/>
      <c r="G8" s="572"/>
      <c r="H8" s="569">
        <v>39447</v>
      </c>
      <c r="I8" s="569">
        <v>39629</v>
      </c>
      <c r="J8" s="341"/>
    </row>
    <row r="9" spans="1:10" ht="12.75">
      <c r="A9" s="567"/>
      <c r="B9" s="573"/>
      <c r="C9" s="573"/>
      <c r="D9" s="573"/>
      <c r="E9" s="573"/>
      <c r="F9" s="573"/>
      <c r="G9" s="573"/>
      <c r="H9" s="570"/>
      <c r="I9" s="570"/>
      <c r="J9" s="342">
        <v>2002</v>
      </c>
    </row>
    <row r="10" spans="1:10" ht="13.5" thickBot="1">
      <c r="A10" s="568"/>
      <c r="B10" s="574"/>
      <c r="C10" s="574"/>
      <c r="D10" s="574"/>
      <c r="E10" s="574"/>
      <c r="F10" s="574"/>
      <c r="G10" s="574"/>
      <c r="H10" s="571"/>
      <c r="I10" s="571"/>
      <c r="J10" s="349"/>
    </row>
    <row r="11" spans="1:11" ht="12.75">
      <c r="A11" s="303"/>
      <c r="B11" s="113"/>
      <c r="C11" s="113"/>
      <c r="D11" s="113"/>
      <c r="E11" s="113"/>
      <c r="F11" s="113"/>
      <c r="G11" s="113"/>
      <c r="H11" s="343"/>
      <c r="I11" s="343"/>
      <c r="J11" s="114"/>
      <c r="K11" s="113"/>
    </row>
    <row r="12" spans="1:11" ht="12.75">
      <c r="A12" s="556">
        <v>2</v>
      </c>
      <c r="B12" s="114" t="s">
        <v>55</v>
      </c>
      <c r="C12" s="113"/>
      <c r="D12" s="113"/>
      <c r="E12" s="113"/>
      <c r="F12" s="113"/>
      <c r="G12" s="113"/>
      <c r="H12" s="318">
        <f>+H14+H18</f>
        <v>368687</v>
      </c>
      <c r="I12" s="318">
        <f>+I14+I18</f>
        <v>357783</v>
      </c>
      <c r="J12" s="350"/>
      <c r="K12" s="113"/>
    </row>
    <row r="13" spans="1:11" ht="12.75">
      <c r="A13" s="303"/>
      <c r="B13" s="113"/>
      <c r="C13" s="113"/>
      <c r="D13" s="113"/>
      <c r="E13" s="113"/>
      <c r="F13" s="113"/>
      <c r="G13" s="113"/>
      <c r="H13" s="318"/>
      <c r="I13" s="318"/>
      <c r="J13" s="350"/>
      <c r="K13" s="113"/>
    </row>
    <row r="14" spans="1:11" ht="12.75">
      <c r="A14" s="303"/>
      <c r="B14" s="116" t="s">
        <v>205</v>
      </c>
      <c r="C14" s="114"/>
      <c r="D14" s="114"/>
      <c r="E14" s="114"/>
      <c r="F14" s="113"/>
      <c r="G14" s="113"/>
      <c r="H14" s="318">
        <v>22857</v>
      </c>
      <c r="I14" s="318">
        <f>5010+26356+64</f>
        <v>31430</v>
      </c>
      <c r="J14" s="350">
        <f>2906+10744</f>
        <v>13650</v>
      </c>
      <c r="K14" s="113"/>
    </row>
    <row r="15" spans="1:11" ht="12.75">
      <c r="A15" s="303"/>
      <c r="B15" s="114"/>
      <c r="C15" s="114"/>
      <c r="D15" s="114"/>
      <c r="E15" s="115"/>
      <c r="F15" s="113"/>
      <c r="G15" s="113"/>
      <c r="H15" s="318"/>
      <c r="I15" s="318"/>
      <c r="J15" s="350"/>
      <c r="K15" s="113"/>
    </row>
    <row r="16" spans="1:12" ht="12.75">
      <c r="A16" s="303"/>
      <c r="B16" s="116" t="s">
        <v>18</v>
      </c>
      <c r="C16" s="114"/>
      <c r="D16" s="114"/>
      <c r="E16" s="114"/>
      <c r="F16" s="113"/>
      <c r="G16" s="113"/>
      <c r="H16" s="318"/>
      <c r="I16" s="318"/>
      <c r="J16" s="350"/>
      <c r="K16" s="113"/>
      <c r="L16" s="205"/>
    </row>
    <row r="17" spans="1:11" ht="13.5" customHeight="1">
      <c r="A17" s="303"/>
      <c r="B17" s="114"/>
      <c r="C17" s="114"/>
      <c r="D17" s="114"/>
      <c r="E17" s="114"/>
      <c r="F17" s="113"/>
      <c r="G17" s="113"/>
      <c r="H17" s="318"/>
      <c r="I17" s="318"/>
      <c r="J17" s="350"/>
      <c r="K17" s="113"/>
    </row>
    <row r="18" spans="1:12" ht="12.75">
      <c r="A18" s="303"/>
      <c r="B18" s="116" t="s">
        <v>19</v>
      </c>
      <c r="C18" s="114"/>
      <c r="D18" s="114"/>
      <c r="E18" s="114"/>
      <c r="F18" s="113"/>
      <c r="G18" s="113"/>
      <c r="H18" s="318">
        <f>H20+H22+H24</f>
        <v>345830</v>
      </c>
      <c r="I18" s="318">
        <f>I20+I22+I24</f>
        <v>326353</v>
      </c>
      <c r="J18" s="350">
        <f>J20+J22</f>
        <v>64608</v>
      </c>
      <c r="K18" s="351"/>
      <c r="L18" s="205"/>
    </row>
    <row r="19" spans="1:11" ht="12.75">
      <c r="A19" s="303"/>
      <c r="B19" s="114"/>
      <c r="C19" s="114"/>
      <c r="D19" s="114"/>
      <c r="E19" s="114"/>
      <c r="F19" s="113"/>
      <c r="G19" s="113"/>
      <c r="H19" s="318"/>
      <c r="I19" s="318"/>
      <c r="J19" s="350"/>
      <c r="K19" s="113"/>
    </row>
    <row r="20" spans="1:11" ht="12.75">
      <c r="A20" s="303"/>
      <c r="B20" s="114"/>
      <c r="C20" s="116" t="s">
        <v>20</v>
      </c>
      <c r="D20" s="117"/>
      <c r="H20" s="319">
        <v>67949</v>
      </c>
      <c r="I20" s="319">
        <f>94828+793</f>
        <v>95621</v>
      </c>
      <c r="J20" s="351">
        <f>59553+982+551</f>
        <v>61086</v>
      </c>
      <c r="K20" s="113"/>
    </row>
    <row r="21" spans="1:11" ht="12.75">
      <c r="A21" s="303"/>
      <c r="B21" s="113"/>
      <c r="C21" s="116"/>
      <c r="E21" s="119"/>
      <c r="H21" s="318"/>
      <c r="I21" s="318"/>
      <c r="J21" s="350"/>
      <c r="K21" s="113"/>
    </row>
    <row r="22" spans="1:11" ht="12.75">
      <c r="A22" s="303"/>
      <c r="B22" s="114"/>
      <c r="C22" s="116" t="s">
        <v>188</v>
      </c>
      <c r="D22" s="117"/>
      <c r="E22" s="117"/>
      <c r="H22" s="319">
        <v>277881</v>
      </c>
      <c r="I22" s="319">
        <f>224125+1527+5079+1</f>
        <v>230732</v>
      </c>
      <c r="J22" s="351">
        <v>3522</v>
      </c>
      <c r="K22" s="113"/>
    </row>
    <row r="23" spans="1:11" ht="12.75">
      <c r="A23" s="303"/>
      <c r="B23" s="114"/>
      <c r="C23" s="116"/>
      <c r="D23" s="117"/>
      <c r="E23" s="117"/>
      <c r="H23" s="318"/>
      <c r="I23" s="318"/>
      <c r="J23" s="350"/>
      <c r="K23" s="113"/>
    </row>
    <row r="24" spans="1:11" ht="12.75">
      <c r="A24" s="303"/>
      <c r="B24" s="113"/>
      <c r="C24" s="294" t="s">
        <v>189</v>
      </c>
      <c r="D24" s="114"/>
      <c r="E24" s="114"/>
      <c r="H24" s="319">
        <v>0</v>
      </c>
      <c r="I24" s="319">
        <v>0</v>
      </c>
      <c r="J24" s="350"/>
      <c r="K24" s="113"/>
    </row>
    <row r="25" spans="1:11" ht="12.75">
      <c r="A25" s="303"/>
      <c r="B25" s="113"/>
      <c r="C25" s="294"/>
      <c r="D25" s="114"/>
      <c r="E25" s="114"/>
      <c r="H25" s="319"/>
      <c r="I25" s="319"/>
      <c r="J25" s="350"/>
      <c r="K25" s="113"/>
    </row>
    <row r="26" spans="1:11" ht="12.75">
      <c r="A26" s="338">
        <v>3</v>
      </c>
      <c r="B26" s="114" t="s">
        <v>57</v>
      </c>
      <c r="C26" s="116"/>
      <c r="D26" s="114"/>
      <c r="E26" s="114"/>
      <c r="H26" s="318">
        <f>H28+H36</f>
        <v>1882415</v>
      </c>
      <c r="I26" s="318">
        <f>I28+I36</f>
        <v>1942858</v>
      </c>
      <c r="J26" s="350">
        <f>J28</f>
        <v>312278</v>
      </c>
      <c r="K26" s="113"/>
    </row>
    <row r="27" spans="1:11" ht="12.75">
      <c r="A27" s="303"/>
      <c r="B27" s="114"/>
      <c r="C27" s="114"/>
      <c r="D27" s="114"/>
      <c r="E27" s="114"/>
      <c r="H27" s="318"/>
      <c r="I27" s="318"/>
      <c r="J27" s="350"/>
      <c r="K27" s="113"/>
    </row>
    <row r="28" spans="1:11" ht="12.75">
      <c r="A28" s="303"/>
      <c r="B28" s="116" t="s">
        <v>192</v>
      </c>
      <c r="C28" s="114"/>
      <c r="D28" s="114"/>
      <c r="E28" s="114"/>
      <c r="H28" s="319">
        <f>H30+H32+H34</f>
        <v>1873294</v>
      </c>
      <c r="I28" s="319">
        <f>I30+I32+I34</f>
        <v>1933814</v>
      </c>
      <c r="J28" s="351">
        <f>J30+J32+J34</f>
        <v>312278</v>
      </c>
      <c r="K28" s="113"/>
    </row>
    <row r="29" spans="1:11" ht="12.75">
      <c r="A29" s="303"/>
      <c r="B29" s="113"/>
      <c r="C29" s="116"/>
      <c r="D29" s="114"/>
      <c r="E29" s="114"/>
      <c r="H29" s="318"/>
      <c r="I29" s="318"/>
      <c r="J29" s="350"/>
      <c r="K29" s="113"/>
    </row>
    <row r="30" spans="1:11" ht="12.75">
      <c r="A30" s="303"/>
      <c r="B30" s="114"/>
      <c r="C30" s="116" t="s">
        <v>9</v>
      </c>
      <c r="D30" s="117"/>
      <c r="E30" s="117"/>
      <c r="H30" s="319">
        <v>42678</v>
      </c>
      <c r="I30" s="319">
        <v>38633</v>
      </c>
      <c r="J30" s="351">
        <v>2659</v>
      </c>
      <c r="K30" s="113"/>
    </row>
    <row r="31" spans="1:11" ht="12.75">
      <c r="A31" s="303"/>
      <c r="B31" s="113"/>
      <c r="C31" s="116"/>
      <c r="D31" s="114"/>
      <c r="E31" s="114"/>
      <c r="H31" s="318"/>
      <c r="I31" s="318"/>
      <c r="J31" s="350"/>
      <c r="K31" s="113"/>
    </row>
    <row r="32" spans="1:11" ht="12.75">
      <c r="A32" s="303"/>
      <c r="B32" s="113"/>
      <c r="C32" s="116" t="s">
        <v>190</v>
      </c>
      <c r="D32" s="117"/>
      <c r="E32" s="114"/>
      <c r="H32" s="319">
        <v>105633</v>
      </c>
      <c r="I32" s="319">
        <v>114518</v>
      </c>
      <c r="J32" s="351">
        <v>45097</v>
      </c>
      <c r="K32" s="113"/>
    </row>
    <row r="33" spans="1:11" ht="12.75">
      <c r="A33" s="303"/>
      <c r="B33" s="114"/>
      <c r="C33" s="114"/>
      <c r="D33" s="114"/>
      <c r="E33" s="114"/>
      <c r="H33" s="318"/>
      <c r="I33" s="318"/>
      <c r="J33" s="350"/>
      <c r="K33" s="113"/>
    </row>
    <row r="34" spans="1:11" ht="12.75">
      <c r="A34" s="303"/>
      <c r="B34" s="113"/>
      <c r="C34" s="116" t="s">
        <v>11</v>
      </c>
      <c r="D34" s="114"/>
      <c r="E34" s="114"/>
      <c r="H34" s="319">
        <f>566+114809+693847+899515+11162+5084</f>
        <v>1724983</v>
      </c>
      <c r="I34" s="319">
        <f>498+113672+717582+933423+10050+5438</f>
        <v>1780663</v>
      </c>
      <c r="J34" s="351">
        <v>264522</v>
      </c>
      <c r="K34" s="113"/>
    </row>
    <row r="35" spans="1:11" ht="12.75">
      <c r="A35" s="303"/>
      <c r="B35" s="113"/>
      <c r="C35" s="116"/>
      <c r="D35" s="114"/>
      <c r="E35" s="114"/>
      <c r="H35" s="319"/>
      <c r="I35" s="319"/>
      <c r="J35" s="351"/>
      <c r="K35" s="113"/>
    </row>
    <row r="36" spans="1:11" ht="12.75">
      <c r="A36" s="303"/>
      <c r="B36" s="348" t="s">
        <v>193</v>
      </c>
      <c r="C36" s="316"/>
      <c r="D36" s="117"/>
      <c r="E36" s="117"/>
      <c r="H36" s="319">
        <v>9121</v>
      </c>
      <c r="I36" s="319">
        <v>9044</v>
      </c>
      <c r="J36" s="350"/>
      <c r="K36" s="113"/>
    </row>
    <row r="37" spans="1:11" ht="12.75">
      <c r="A37" s="303"/>
      <c r="B37" s="116"/>
      <c r="C37" s="114"/>
      <c r="D37" s="114"/>
      <c r="E37" s="114"/>
      <c r="H37" s="318"/>
      <c r="I37" s="318"/>
      <c r="J37" s="350"/>
      <c r="K37" s="113"/>
    </row>
    <row r="38" spans="1:11" ht="12.75">
      <c r="A38" s="339"/>
      <c r="B38" s="114" t="s">
        <v>58</v>
      </c>
      <c r="C38" s="114"/>
      <c r="D38" s="114"/>
      <c r="E38" s="114"/>
      <c r="H38" s="318">
        <f>1523+86+1</f>
        <v>1610</v>
      </c>
      <c r="I38" s="318">
        <f>1524+132</f>
        <v>1656</v>
      </c>
      <c r="J38" s="350"/>
      <c r="K38" s="113"/>
    </row>
    <row r="39" spans="1:11" ht="12.75">
      <c r="A39" s="339"/>
      <c r="B39" s="114"/>
      <c r="C39" s="114"/>
      <c r="D39" s="114"/>
      <c r="E39" s="114"/>
      <c r="H39" s="318"/>
      <c r="I39" s="318"/>
      <c r="J39" s="350"/>
      <c r="K39" s="113"/>
    </row>
    <row r="40" spans="1:11" ht="12.75">
      <c r="A40" s="339"/>
      <c r="B40" s="114"/>
      <c r="H40" s="319"/>
      <c r="I40" s="319"/>
      <c r="J40" s="351"/>
      <c r="K40" s="113"/>
    </row>
    <row r="41" spans="1:11" ht="12.75">
      <c r="A41" s="338"/>
      <c r="B41" s="114" t="s">
        <v>59</v>
      </c>
      <c r="H41" s="318"/>
      <c r="I41" s="318"/>
      <c r="J41" s="350"/>
      <c r="K41" s="113"/>
    </row>
    <row r="42" spans="1:11" ht="12.75">
      <c r="A42" s="339"/>
      <c r="B42" s="114"/>
      <c r="H42" s="319"/>
      <c r="I42" s="319"/>
      <c r="J42" s="351"/>
      <c r="K42" s="113"/>
    </row>
    <row r="43" spans="1:11" ht="12.75">
      <c r="A43" s="339"/>
      <c r="B43" s="114"/>
      <c r="H43" s="319"/>
      <c r="I43" s="319"/>
      <c r="J43" s="351"/>
      <c r="K43" s="113"/>
    </row>
    <row r="44" spans="1:11" ht="12.75">
      <c r="A44" s="338"/>
      <c r="B44" s="114" t="s">
        <v>60</v>
      </c>
      <c r="H44" s="318">
        <f>1188</f>
        <v>1188</v>
      </c>
      <c r="I44" s="318">
        <f>1172-1</f>
        <v>1171</v>
      </c>
      <c r="J44" s="350">
        <v>404</v>
      </c>
      <c r="K44" s="113"/>
    </row>
    <row r="45" spans="1:11" ht="12.75">
      <c r="A45" s="339"/>
      <c r="B45" s="114"/>
      <c r="H45" s="318"/>
      <c r="I45" s="318"/>
      <c r="J45" s="350"/>
      <c r="K45" s="113"/>
    </row>
    <row r="46" spans="1:11" ht="12.75">
      <c r="A46" s="339"/>
      <c r="B46" s="116"/>
      <c r="H46" s="319"/>
      <c r="I46" s="319"/>
      <c r="J46" s="351"/>
      <c r="K46" s="113"/>
    </row>
    <row r="47" spans="1:11" ht="12.75">
      <c r="A47" s="338"/>
      <c r="B47" s="294" t="s">
        <v>61</v>
      </c>
      <c r="C47" s="120"/>
      <c r="D47" s="121"/>
      <c r="E47" s="121"/>
      <c r="H47" s="330">
        <v>3514</v>
      </c>
      <c r="I47" s="330">
        <v>3525</v>
      </c>
      <c r="J47" s="352">
        <v>1166</v>
      </c>
      <c r="K47" s="113"/>
    </row>
    <row r="48" spans="1:11" ht="12.75">
      <c r="A48" s="339"/>
      <c r="B48" s="114"/>
      <c r="H48" s="319"/>
      <c r="I48" s="319"/>
      <c r="J48" s="351"/>
      <c r="K48" s="113"/>
    </row>
    <row r="49" spans="1:11" ht="12.75">
      <c r="A49" s="339"/>
      <c r="B49" s="114"/>
      <c r="H49" s="319"/>
      <c r="I49" s="319"/>
      <c r="J49" s="351"/>
      <c r="K49" s="113"/>
    </row>
    <row r="50" spans="1:11" ht="12.75">
      <c r="A50" s="338"/>
      <c r="B50" s="114" t="s">
        <v>62</v>
      </c>
      <c r="H50" s="318">
        <v>7549</v>
      </c>
      <c r="I50" s="318">
        <v>7855</v>
      </c>
      <c r="J50" s="350">
        <v>262</v>
      </c>
      <c r="K50" s="113"/>
    </row>
    <row r="51" spans="1:11" ht="12.75">
      <c r="A51" s="338"/>
      <c r="B51" s="114"/>
      <c r="H51" s="318"/>
      <c r="I51" s="318"/>
      <c r="J51" s="350"/>
      <c r="K51" s="113"/>
    </row>
    <row r="52" spans="1:11" ht="12.75">
      <c r="A52" s="338"/>
      <c r="B52" s="114" t="s">
        <v>63</v>
      </c>
      <c r="H52" s="318">
        <v>16147</v>
      </c>
      <c r="I52" s="318">
        <v>15905</v>
      </c>
      <c r="J52" s="350">
        <v>4037</v>
      </c>
      <c r="K52" s="351"/>
    </row>
    <row r="53" spans="1:11" ht="12.75">
      <c r="A53" s="339"/>
      <c r="B53" s="114"/>
      <c r="C53" s="122"/>
      <c r="D53" s="122"/>
      <c r="E53" s="122"/>
      <c r="F53" s="122"/>
      <c r="G53" s="122"/>
      <c r="H53" s="319"/>
      <c r="I53" s="319"/>
      <c r="J53" s="351"/>
      <c r="K53" s="113"/>
    </row>
    <row r="54" spans="1:11" ht="12.75">
      <c r="A54" s="338"/>
      <c r="B54" s="114" t="s">
        <v>64</v>
      </c>
      <c r="D54" s="121"/>
      <c r="H54" s="318">
        <f>25+85612+33+166-86</f>
        <v>85750</v>
      </c>
      <c r="I54" s="318">
        <v>91894</v>
      </c>
      <c r="J54" s="350">
        <v>443</v>
      </c>
      <c r="K54" s="113"/>
    </row>
    <row r="55" spans="1:11" ht="12.75">
      <c r="A55" s="338"/>
      <c r="B55" s="114"/>
      <c r="D55" s="121"/>
      <c r="H55" s="318"/>
      <c r="I55" s="318"/>
      <c r="J55" s="350"/>
      <c r="K55" s="113"/>
    </row>
    <row r="56" spans="1:11" ht="12.75">
      <c r="A56" s="338"/>
      <c r="B56" s="114" t="s">
        <v>65</v>
      </c>
      <c r="D56" s="121"/>
      <c r="H56" s="318">
        <v>34205</v>
      </c>
      <c r="I56" s="318">
        <v>30609</v>
      </c>
      <c r="J56" s="350">
        <v>8677</v>
      </c>
      <c r="K56" s="113"/>
    </row>
    <row r="57" spans="1:11" ht="12.75">
      <c r="A57" s="339"/>
      <c r="B57" s="114"/>
      <c r="H57" s="319"/>
      <c r="I57" s="319"/>
      <c r="J57" s="351"/>
      <c r="K57" s="113"/>
    </row>
    <row r="58" spans="1:11" ht="13.5" thickBot="1">
      <c r="A58" s="339"/>
      <c r="B58" s="114"/>
      <c r="H58" s="319"/>
      <c r="I58" s="319"/>
      <c r="J58" s="351"/>
      <c r="K58" s="113"/>
    </row>
    <row r="59" spans="1:11" ht="13.5" thickBot="1">
      <c r="A59" s="344"/>
      <c r="B59" s="347"/>
      <c r="C59" s="345" t="s">
        <v>66</v>
      </c>
      <c r="D59" s="346"/>
      <c r="E59" s="345"/>
      <c r="F59" s="346"/>
      <c r="G59" s="346"/>
      <c r="H59" s="504">
        <f>H54+H50+H45+H41+H26+H18+H14+H47+H44+H52+H56+H38</f>
        <v>2401065</v>
      </c>
      <c r="I59" s="505">
        <f>I54+I50+I45+I41+I26+I18+I14+I47+I44+I52+I56+I38</f>
        <v>2453256</v>
      </c>
      <c r="J59" s="353">
        <f>J54+J50+J45+J41+J26+J18+J14+J47+J44+J52+J56</f>
        <v>405525</v>
      </c>
      <c r="K59" s="113"/>
    </row>
    <row r="60" spans="1:11" ht="12.75">
      <c r="A60" s="339"/>
      <c r="B60" s="114"/>
      <c r="H60" s="118"/>
      <c r="I60" s="118"/>
      <c r="J60" s="351"/>
      <c r="K60" s="113"/>
    </row>
    <row r="61" spans="1:12" ht="12.75">
      <c r="A61" s="339"/>
      <c r="B61" s="114"/>
      <c r="C61" s="123" t="s">
        <v>67</v>
      </c>
      <c r="H61" s="118"/>
      <c r="I61" s="118"/>
      <c r="J61" s="351"/>
      <c r="K61" s="113"/>
      <c r="L61" s="216"/>
    </row>
    <row r="62" spans="1:11" ht="12.75">
      <c r="A62" s="339"/>
      <c r="B62" s="114"/>
      <c r="H62" s="118"/>
      <c r="I62" s="118"/>
      <c r="J62" s="351"/>
      <c r="K62" s="113"/>
    </row>
    <row r="63" spans="1:11" ht="12.75">
      <c r="A63" s="338"/>
      <c r="B63" s="113" t="s">
        <v>68</v>
      </c>
      <c r="H63" s="506">
        <v>177261</v>
      </c>
      <c r="I63" s="506">
        <v>156955</v>
      </c>
      <c r="J63" s="350">
        <v>8848</v>
      </c>
      <c r="K63" s="113"/>
    </row>
    <row r="64" spans="1:11" ht="12.75">
      <c r="A64" s="338"/>
      <c r="B64" s="113" t="s">
        <v>69</v>
      </c>
      <c r="H64" s="506">
        <v>236073</v>
      </c>
      <c r="I64" s="506">
        <v>277552</v>
      </c>
      <c r="J64" s="350">
        <v>50902</v>
      </c>
      <c r="K64" s="113"/>
    </row>
    <row r="65" spans="1:11" ht="12.75">
      <c r="A65" s="339"/>
      <c r="B65" s="113"/>
      <c r="H65" s="118"/>
      <c r="I65" s="118"/>
      <c r="J65" s="351"/>
      <c r="K65" s="113"/>
    </row>
    <row r="66" spans="1:11" ht="12.75">
      <c r="A66" s="340"/>
      <c r="B66" s="124"/>
      <c r="C66" s="124"/>
      <c r="D66" s="124"/>
      <c r="E66" s="124"/>
      <c r="F66" s="124"/>
      <c r="G66" s="124"/>
      <c r="H66" s="125"/>
      <c r="I66" s="125"/>
      <c r="J66" s="351"/>
      <c r="K66" s="113"/>
    </row>
    <row r="67" ht="12.75">
      <c r="B67" s="114"/>
    </row>
    <row r="68" ht="12.75">
      <c r="B68" s="114"/>
    </row>
    <row r="69" ht="12.75">
      <c r="B69" s="114"/>
    </row>
    <row r="70" ht="12.75">
      <c r="B70" s="114"/>
    </row>
    <row r="71" ht="12.75">
      <c r="B71" s="114"/>
    </row>
    <row r="72" ht="12.75">
      <c r="B72" s="114"/>
    </row>
    <row r="73" ht="12.75">
      <c r="B73" s="114"/>
    </row>
    <row r="74" ht="12.75">
      <c r="B74" s="114"/>
    </row>
    <row r="75" ht="12.75">
      <c r="B75" s="114"/>
    </row>
    <row r="76" ht="12.75">
      <c r="B76" s="114"/>
    </row>
    <row r="77" ht="12.75">
      <c r="B77" s="114"/>
    </row>
    <row r="78" ht="12.75">
      <c r="B78" s="114"/>
    </row>
    <row r="79" ht="12.75">
      <c r="B79" s="114"/>
    </row>
    <row r="80" ht="12.75">
      <c r="B80" s="114"/>
    </row>
    <row r="81" ht="12.75">
      <c r="B81" s="114"/>
    </row>
    <row r="82" ht="12.75">
      <c r="B82" s="114"/>
    </row>
    <row r="83" ht="12.75">
      <c r="B83" s="114"/>
    </row>
    <row r="84" ht="12.75">
      <c r="B84" s="114"/>
    </row>
    <row r="85" ht="12.75">
      <c r="B85" s="114"/>
    </row>
    <row r="86" ht="12.75">
      <c r="B86" s="114"/>
    </row>
    <row r="87" ht="12.75">
      <c r="B87" s="114"/>
    </row>
    <row r="88" ht="12.75">
      <c r="B88" s="114"/>
    </row>
  </sheetData>
  <mergeCells count="4">
    <mergeCell ref="A8:A10"/>
    <mergeCell ref="I8:I10"/>
    <mergeCell ref="B8:G10"/>
    <mergeCell ref="H8:H10"/>
  </mergeCells>
  <printOptions horizontalCentered="1" verticalCentered="1"/>
  <pageMargins left="0" right="0" top="0.1968503937007874" bottom="0.1968503937007874" header="0.4330708661417323" footer="0.5118110236220472"/>
  <pageSetup horizontalDpi="300" verticalDpi="300" orientation="portrait" paperSize="9" scale="80" r:id="rId2"/>
  <headerFooter alignWithMargins="0">
    <oddHeader>&amp;R&amp;"Arial,Gras"&amp;18BILAN &amp;B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J96"/>
  <sheetViews>
    <sheetView workbookViewId="0" topLeftCell="A58">
      <selection activeCell="A26" sqref="A26"/>
    </sheetView>
  </sheetViews>
  <sheetFormatPr defaultColWidth="11.421875" defaultRowHeight="12.75"/>
  <cols>
    <col min="1" max="1" width="7.28125" style="126" customWidth="1"/>
    <col min="2" max="2" width="4.28125" style="126" customWidth="1"/>
    <col min="3" max="3" width="11.421875" style="126" customWidth="1"/>
    <col min="4" max="4" width="12.7109375" style="126" customWidth="1"/>
    <col min="5" max="5" width="19.421875" style="126" customWidth="1"/>
    <col min="6" max="6" width="8.28125" style="126" customWidth="1"/>
    <col min="7" max="7" width="3.421875" style="126" customWidth="1"/>
    <col min="8" max="8" width="15.57421875" style="126" customWidth="1"/>
    <col min="9" max="9" width="14.57421875" style="126" customWidth="1"/>
    <col min="10" max="16384" width="11.421875" style="126" customWidth="1"/>
  </cols>
  <sheetData>
    <row r="2" ht="26.25">
      <c r="C2" s="477"/>
    </row>
    <row r="3" ht="15.75" customHeight="1">
      <c r="C3" s="477"/>
    </row>
    <row r="4" ht="15.75" customHeight="1">
      <c r="C4" s="477"/>
    </row>
    <row r="5" ht="15.75" customHeight="1">
      <c r="C5" s="477"/>
    </row>
    <row r="6" ht="12.75">
      <c r="C6" s="127"/>
    </row>
    <row r="7" spans="1:9" ht="15.75">
      <c r="A7" s="354"/>
      <c r="B7" s="354"/>
      <c r="C7" s="363" t="s">
        <v>70</v>
      </c>
      <c r="D7" s="363"/>
      <c r="E7" s="355"/>
      <c r="F7" s="356"/>
      <c r="G7" s="356"/>
      <c r="H7" s="356"/>
      <c r="I7" s="356"/>
    </row>
    <row r="8" ht="16.5" customHeight="1" thickBot="1"/>
    <row r="9" spans="1:9" ht="12.75" customHeight="1">
      <c r="A9" s="591" t="s">
        <v>54</v>
      </c>
      <c r="B9" s="585" t="s">
        <v>143</v>
      </c>
      <c r="C9" s="586"/>
      <c r="D9" s="586"/>
      <c r="E9" s="586"/>
      <c r="F9" s="586"/>
      <c r="G9" s="587"/>
      <c r="H9" s="581">
        <v>39447</v>
      </c>
      <c r="I9" s="583">
        <v>39629</v>
      </c>
    </row>
    <row r="10" spans="1:9" ht="13.5" customHeight="1" thickBot="1">
      <c r="A10" s="563"/>
      <c r="B10" s="588"/>
      <c r="C10" s="589"/>
      <c r="D10" s="589"/>
      <c r="E10" s="589"/>
      <c r="F10" s="589"/>
      <c r="G10" s="590"/>
      <c r="H10" s="582"/>
      <c r="I10" s="584"/>
    </row>
    <row r="11" spans="1:9" ht="12.75">
      <c r="A11" s="357"/>
      <c r="B11" s="132"/>
      <c r="C11" s="129"/>
      <c r="D11" s="129"/>
      <c r="E11" s="129"/>
      <c r="F11" s="129"/>
      <c r="G11" s="129"/>
      <c r="H11" s="128"/>
      <c r="I11" s="128"/>
    </row>
    <row r="12" spans="1:9" ht="12.75">
      <c r="A12" s="358">
        <v>4</v>
      </c>
      <c r="B12" s="131" t="s">
        <v>55</v>
      </c>
      <c r="C12" s="129"/>
      <c r="D12" s="129"/>
      <c r="E12" s="129"/>
      <c r="F12" s="129"/>
      <c r="G12" s="129"/>
      <c r="H12" s="497">
        <f>(H14+H16)</f>
        <v>1030367</v>
      </c>
      <c r="I12" s="497">
        <f>(I14+I16)</f>
        <v>1172164</v>
      </c>
    </row>
    <row r="13" spans="1:9" ht="12.75">
      <c r="A13" s="357"/>
      <c r="B13" s="132"/>
      <c r="C13" s="129"/>
      <c r="D13" s="129"/>
      <c r="E13" s="129"/>
      <c r="F13" s="129"/>
      <c r="G13" s="129"/>
      <c r="H13" s="498"/>
      <c r="I13" s="498"/>
    </row>
    <row r="14" spans="1:9" ht="12.75">
      <c r="A14" s="357"/>
      <c r="B14" s="133" t="s">
        <v>206</v>
      </c>
      <c r="C14" s="134"/>
      <c r="D14" s="134"/>
      <c r="E14" s="134"/>
      <c r="F14" s="129"/>
      <c r="H14" s="497"/>
      <c r="I14" s="497"/>
    </row>
    <row r="15" spans="1:9" ht="12.75">
      <c r="A15" s="357"/>
      <c r="B15" s="131"/>
      <c r="C15" s="134"/>
      <c r="D15" s="134"/>
      <c r="E15" s="135"/>
      <c r="F15" s="129"/>
      <c r="H15" s="497"/>
      <c r="I15" s="497"/>
    </row>
    <row r="16" spans="1:9" ht="12.75">
      <c r="A16" s="357"/>
      <c r="B16" s="133" t="s">
        <v>71</v>
      </c>
      <c r="C16" s="134"/>
      <c r="D16" s="134"/>
      <c r="E16" s="134"/>
      <c r="F16" s="129"/>
      <c r="H16" s="497">
        <f>(H18+H20+H24+H22)</f>
        <v>1030367</v>
      </c>
      <c r="I16" s="497">
        <f>(I18+I20+I24+I22)</f>
        <v>1172164</v>
      </c>
    </row>
    <row r="17" spans="1:9" ht="12.75">
      <c r="A17" s="357"/>
      <c r="B17" s="131"/>
      <c r="C17" s="134"/>
      <c r="D17" s="134"/>
      <c r="E17" s="134"/>
      <c r="F17" s="129"/>
      <c r="H17" s="497"/>
      <c r="I17" s="497"/>
    </row>
    <row r="18" spans="1:9" ht="14.25" customHeight="1">
      <c r="A18" s="357"/>
      <c r="B18" s="131"/>
      <c r="C18" s="136" t="s">
        <v>56</v>
      </c>
      <c r="D18" s="137"/>
      <c r="H18" s="499">
        <v>1180</v>
      </c>
      <c r="I18" s="499">
        <v>2066</v>
      </c>
    </row>
    <row r="19" spans="1:9" ht="12.75">
      <c r="A19" s="357"/>
      <c r="B19" s="132"/>
      <c r="C19" s="136"/>
      <c r="E19" s="138"/>
      <c r="H19" s="499"/>
      <c r="I19" s="499"/>
    </row>
    <row r="20" spans="1:9" ht="12.75">
      <c r="A20" s="357"/>
      <c r="B20" s="131"/>
      <c r="C20" s="136" t="s">
        <v>72</v>
      </c>
      <c r="D20" s="137"/>
      <c r="E20" s="137"/>
      <c r="H20" s="499">
        <v>1029147</v>
      </c>
      <c r="I20" s="499">
        <f>1157098+12652</f>
        <v>1169750</v>
      </c>
    </row>
    <row r="21" spans="1:9" ht="12.75">
      <c r="A21" s="357"/>
      <c r="B21" s="131"/>
      <c r="C21" s="136"/>
      <c r="D21" s="137"/>
      <c r="E21" s="137"/>
      <c r="H21" s="499"/>
      <c r="I21" s="499"/>
    </row>
    <row r="22" spans="1:9" ht="12.75">
      <c r="A22" s="357"/>
      <c r="B22" s="131"/>
      <c r="C22" s="136" t="s">
        <v>194</v>
      </c>
      <c r="D22" s="137"/>
      <c r="E22" s="137"/>
      <c r="H22" s="499">
        <v>40</v>
      </c>
      <c r="I22" s="499">
        <v>348</v>
      </c>
    </row>
    <row r="23" spans="1:9" ht="12.75">
      <c r="A23" s="357"/>
      <c r="B23" s="131"/>
      <c r="C23" s="136"/>
      <c r="D23" s="137"/>
      <c r="E23" s="137"/>
      <c r="H23" s="499"/>
      <c r="I23" s="499"/>
    </row>
    <row r="24" spans="1:9" ht="12.75">
      <c r="A24" s="357"/>
      <c r="B24" s="132"/>
      <c r="C24" s="136" t="s">
        <v>22</v>
      </c>
      <c r="D24" s="137"/>
      <c r="E24" s="137"/>
      <c r="H24" s="499">
        <v>0</v>
      </c>
      <c r="I24" s="499">
        <v>0</v>
      </c>
    </row>
    <row r="25" spans="1:9" ht="12.75">
      <c r="A25" s="359"/>
      <c r="B25" s="132"/>
      <c r="C25" s="136"/>
      <c r="D25" s="134"/>
      <c r="E25" s="134"/>
      <c r="H25" s="497"/>
      <c r="I25" s="497"/>
    </row>
    <row r="26" spans="1:9" ht="12.75">
      <c r="A26" s="358">
        <v>5</v>
      </c>
      <c r="B26" s="131" t="s">
        <v>73</v>
      </c>
      <c r="C26" s="136"/>
      <c r="D26" s="134"/>
      <c r="E26" s="134"/>
      <c r="H26" s="497">
        <f>SUM(H28:H34)</f>
        <v>1118595</v>
      </c>
      <c r="I26" s="497">
        <f>SUM(I28:I34)</f>
        <v>1048166</v>
      </c>
    </row>
    <row r="27" spans="1:9" ht="12.75">
      <c r="A27" s="360"/>
      <c r="B27" s="131"/>
      <c r="C27" s="134"/>
      <c r="D27" s="134"/>
      <c r="E27" s="134"/>
      <c r="H27" s="497"/>
      <c r="I27" s="497"/>
    </row>
    <row r="28" spans="1:9" ht="12.75">
      <c r="A28" s="357"/>
      <c r="B28" s="133"/>
      <c r="C28" s="136" t="s">
        <v>56</v>
      </c>
      <c r="D28" s="134"/>
      <c r="E28" s="134"/>
      <c r="H28" s="499">
        <v>547155</v>
      </c>
      <c r="I28" s="499">
        <v>493018</v>
      </c>
    </row>
    <row r="29" spans="1:9" ht="12.75">
      <c r="A29" s="357"/>
      <c r="B29" s="132"/>
      <c r="C29" s="129"/>
      <c r="D29" s="134"/>
      <c r="E29" s="206"/>
      <c r="H29" s="499"/>
      <c r="I29" s="499"/>
    </row>
    <row r="30" spans="1:9" ht="12.75">
      <c r="A30" s="357"/>
      <c r="B30" s="133"/>
      <c r="C30" s="136" t="s">
        <v>74</v>
      </c>
      <c r="D30" s="137"/>
      <c r="E30" s="137"/>
      <c r="H30" s="499">
        <f>91656+6</f>
        <v>91662</v>
      </c>
      <c r="I30" s="499">
        <f>74138+467+6</f>
        <v>74611</v>
      </c>
    </row>
    <row r="31" spans="1:9" ht="12.75">
      <c r="A31" s="357"/>
      <c r="B31" s="132"/>
      <c r="C31" s="129"/>
      <c r="D31" s="134"/>
      <c r="E31" s="134"/>
      <c r="H31" s="499"/>
      <c r="I31" s="499"/>
    </row>
    <row r="32" spans="1:9" ht="12.75">
      <c r="A32" s="357"/>
      <c r="B32" s="133"/>
      <c r="C32" s="136" t="s">
        <v>75</v>
      </c>
      <c r="D32" s="137"/>
      <c r="E32" s="134"/>
      <c r="H32" s="499">
        <v>475269</v>
      </c>
      <c r="I32" s="499">
        <f>468366+7216</f>
        <v>475582</v>
      </c>
    </row>
    <row r="33" spans="1:9" ht="12.75">
      <c r="A33" s="357"/>
      <c r="B33" s="133"/>
      <c r="C33" s="136"/>
      <c r="D33" s="137"/>
      <c r="E33" s="134"/>
      <c r="H33" s="499"/>
      <c r="I33" s="499"/>
    </row>
    <row r="34" spans="1:9" ht="12.75">
      <c r="A34" s="357"/>
      <c r="B34" s="133"/>
      <c r="C34" s="136" t="s">
        <v>194</v>
      </c>
      <c r="D34" s="137"/>
      <c r="E34" s="134"/>
      <c r="H34" s="499">
        <v>4509</v>
      </c>
      <c r="I34" s="499">
        <v>4955</v>
      </c>
    </row>
    <row r="35" spans="1:10" ht="12.75">
      <c r="A35" s="357"/>
      <c r="B35" s="131"/>
      <c r="C35" s="134"/>
      <c r="D35" s="134"/>
      <c r="E35" s="134"/>
      <c r="H35" s="497"/>
      <c r="I35" s="497"/>
      <c r="J35" s="207"/>
    </row>
    <row r="36" spans="1:9" ht="12.75">
      <c r="A36" s="357"/>
      <c r="B36" s="132"/>
      <c r="C36" s="136"/>
      <c r="D36" s="134"/>
      <c r="E36" s="134"/>
      <c r="H36" s="497"/>
      <c r="I36" s="497"/>
    </row>
    <row r="37" spans="1:9" ht="12.75">
      <c r="A37" s="358">
        <v>5</v>
      </c>
      <c r="B37" s="131" t="s">
        <v>76</v>
      </c>
      <c r="C37" s="136"/>
      <c r="D37" s="137"/>
      <c r="E37" s="137"/>
      <c r="H37" s="497">
        <f>H39+H41</f>
        <v>61202</v>
      </c>
      <c r="I37" s="497">
        <f>I39+I41</f>
        <v>50236</v>
      </c>
    </row>
    <row r="38" spans="1:9" ht="12.75">
      <c r="A38" s="357"/>
      <c r="B38" s="132"/>
      <c r="C38" s="136"/>
      <c r="D38" s="134"/>
      <c r="E38" s="134"/>
      <c r="H38" s="497"/>
      <c r="I38" s="497"/>
    </row>
    <row r="39" spans="1:9" ht="12" customHeight="1">
      <c r="A39" s="357"/>
      <c r="C39" s="136" t="s">
        <v>48</v>
      </c>
      <c r="D39" s="134"/>
      <c r="E39" s="134"/>
      <c r="H39" s="499">
        <v>683</v>
      </c>
      <c r="I39" s="499">
        <f>427+2</f>
        <v>429</v>
      </c>
    </row>
    <row r="40" spans="1:9" ht="12" customHeight="1">
      <c r="A40" s="357"/>
      <c r="C40" s="136"/>
      <c r="D40" s="134"/>
      <c r="E40" s="134"/>
      <c r="H40" s="499"/>
      <c r="I40" s="499"/>
    </row>
    <row r="41" spans="1:9" ht="12.75">
      <c r="A41" s="357"/>
      <c r="C41" s="317" t="s">
        <v>77</v>
      </c>
      <c r="D41" s="134"/>
      <c r="E41" s="134"/>
      <c r="H41" s="499">
        <v>60519</v>
      </c>
      <c r="I41" s="499">
        <f>49495+312</f>
        <v>49807</v>
      </c>
    </row>
    <row r="42" spans="1:9" ht="12.75">
      <c r="A42" s="357"/>
      <c r="B42" s="131"/>
      <c r="H42" s="499"/>
      <c r="I42" s="499"/>
    </row>
    <row r="43" spans="1:9" ht="12.75">
      <c r="A43" s="358"/>
      <c r="B43" s="131" t="s">
        <v>78</v>
      </c>
      <c r="C43" s="140"/>
      <c r="D43" s="141"/>
      <c r="E43" s="141"/>
      <c r="H43" s="497">
        <v>15647</v>
      </c>
      <c r="I43" s="497">
        <v>14047</v>
      </c>
    </row>
    <row r="44" spans="1:9" ht="12.75">
      <c r="A44" s="358"/>
      <c r="B44" s="131"/>
      <c r="C44" s="140"/>
      <c r="D44" s="141"/>
      <c r="E44" s="141"/>
      <c r="H44" s="497"/>
      <c r="I44" s="497"/>
    </row>
    <row r="45" spans="1:9" ht="12.75">
      <c r="A45" s="358"/>
      <c r="B45" s="131" t="s">
        <v>65</v>
      </c>
      <c r="C45" s="140"/>
      <c r="D45" s="141"/>
      <c r="E45" s="141"/>
      <c r="H45" s="497">
        <v>61648</v>
      </c>
      <c r="I45" s="497">
        <v>65408</v>
      </c>
    </row>
    <row r="46" spans="1:9" ht="12.75">
      <c r="A46" s="357"/>
      <c r="B46" s="131"/>
      <c r="H46" s="499"/>
      <c r="I46" s="499"/>
    </row>
    <row r="47" spans="1:9" ht="12.75">
      <c r="A47" s="358">
        <v>6</v>
      </c>
      <c r="B47" s="131" t="s">
        <v>209</v>
      </c>
      <c r="C47" s="141"/>
      <c r="D47" s="141"/>
      <c r="H47" s="497">
        <v>14547</v>
      </c>
      <c r="I47" s="497">
        <v>14808</v>
      </c>
    </row>
    <row r="48" spans="1:9" ht="12.75">
      <c r="A48" s="358"/>
      <c r="B48" s="131"/>
      <c r="C48" s="141"/>
      <c r="D48" s="141"/>
      <c r="H48" s="497"/>
      <c r="I48" s="497"/>
    </row>
    <row r="49" spans="1:9" ht="12.75">
      <c r="A49" s="358"/>
      <c r="B49" s="131" t="s">
        <v>195</v>
      </c>
      <c r="C49" s="141"/>
      <c r="D49" s="141"/>
      <c r="H49" s="497">
        <v>2603</v>
      </c>
      <c r="I49" s="497">
        <v>2508</v>
      </c>
    </row>
    <row r="50" spans="1:9" ht="12.75">
      <c r="A50" s="357"/>
      <c r="B50" s="133"/>
      <c r="H50" s="499"/>
      <c r="I50" s="499"/>
    </row>
    <row r="51" spans="1:9" ht="12.75">
      <c r="A51" s="357"/>
      <c r="B51" s="139" t="s">
        <v>52</v>
      </c>
      <c r="H51" s="497">
        <v>0</v>
      </c>
      <c r="I51" s="497">
        <v>0</v>
      </c>
    </row>
    <row r="52" spans="1:9" ht="12.75">
      <c r="A52" s="357"/>
      <c r="B52" s="139"/>
      <c r="H52" s="497"/>
      <c r="I52" s="497"/>
    </row>
    <row r="53" spans="1:9" ht="11.25" customHeight="1">
      <c r="A53" s="357"/>
      <c r="B53" s="131"/>
      <c r="H53" s="499"/>
      <c r="I53" s="499"/>
    </row>
    <row r="54" spans="1:9" ht="12.75">
      <c r="A54" s="358">
        <v>7</v>
      </c>
      <c r="B54" s="131" t="s">
        <v>79</v>
      </c>
      <c r="C54" s="142"/>
      <c r="D54" s="142"/>
      <c r="E54" s="142"/>
      <c r="F54" s="142"/>
      <c r="H54" s="497">
        <f>SUM(H56:H66)</f>
        <v>96456</v>
      </c>
      <c r="I54" s="497">
        <f>SUM(I56:I66)</f>
        <v>85919</v>
      </c>
    </row>
    <row r="55" spans="1:9" ht="12.75">
      <c r="A55" s="357"/>
      <c r="B55" s="131"/>
      <c r="H55" s="499"/>
      <c r="I55" s="499"/>
    </row>
    <row r="56" spans="1:9" ht="12.75">
      <c r="A56" s="357"/>
      <c r="C56" s="136" t="s">
        <v>80</v>
      </c>
      <c r="H56" s="499">
        <v>52921</v>
      </c>
      <c r="I56" s="499">
        <v>52921</v>
      </c>
    </row>
    <row r="57" spans="1:9" ht="12.75">
      <c r="A57" s="357"/>
      <c r="B57" s="131"/>
      <c r="C57" s="129"/>
      <c r="D57" s="141"/>
      <c r="G57" s="142"/>
      <c r="H57" s="499"/>
      <c r="I57" s="499"/>
    </row>
    <row r="58" spans="1:9" ht="12.75">
      <c r="A58" s="357"/>
      <c r="C58" s="136" t="s">
        <v>81</v>
      </c>
      <c r="H58" s="499">
        <f>5292+252+6269</f>
        <v>11813</v>
      </c>
      <c r="I58" s="499">
        <v>11813</v>
      </c>
    </row>
    <row r="59" spans="1:9" ht="12.75">
      <c r="A59" s="357"/>
      <c r="C59" s="317"/>
      <c r="H59" s="499"/>
      <c r="I59" s="499"/>
    </row>
    <row r="60" spans="1:9" ht="12.75">
      <c r="A60" s="357"/>
      <c r="C60" s="317" t="s">
        <v>136</v>
      </c>
      <c r="H60" s="499">
        <v>1608</v>
      </c>
      <c r="I60" s="499">
        <v>1608</v>
      </c>
    </row>
    <row r="61" spans="1:9" ht="12.75">
      <c r="A61" s="357"/>
      <c r="C61" s="317"/>
      <c r="H61" s="499"/>
      <c r="I61" s="499"/>
    </row>
    <row r="62" spans="1:9" ht="12.75">
      <c r="A62" s="357"/>
      <c r="C62" s="136" t="s">
        <v>82</v>
      </c>
      <c r="H62" s="499">
        <v>23</v>
      </c>
      <c r="I62" s="499">
        <v>15</v>
      </c>
    </row>
    <row r="63" spans="1:9" ht="12.75">
      <c r="A63" s="357"/>
      <c r="C63" s="317"/>
      <c r="H63" s="499"/>
      <c r="I63" s="499"/>
    </row>
    <row r="64" spans="1:9" ht="12.75">
      <c r="A64" s="357"/>
      <c r="C64" s="136" t="s">
        <v>83</v>
      </c>
      <c r="H64" s="499">
        <v>13069</v>
      </c>
      <c r="I64" s="499">
        <v>13075</v>
      </c>
    </row>
    <row r="65" spans="1:9" ht="12.75">
      <c r="A65" s="357"/>
      <c r="C65" s="317"/>
      <c r="H65" s="499"/>
      <c r="I65" s="499"/>
    </row>
    <row r="66" spans="1:9" ht="13.5" customHeight="1">
      <c r="A66" s="357"/>
      <c r="C66" s="136" t="s">
        <v>84</v>
      </c>
      <c r="H66" s="499">
        <v>17022</v>
      </c>
      <c r="I66" s="499">
        <v>6487</v>
      </c>
    </row>
    <row r="67" spans="1:9" ht="13.5" customHeight="1">
      <c r="A67" s="357"/>
      <c r="B67" s="139"/>
      <c r="C67" s="136"/>
      <c r="H67" s="499"/>
      <c r="I67" s="499"/>
    </row>
    <row r="68" spans="1:9" ht="9.75" customHeight="1" thickBot="1">
      <c r="A68" s="357"/>
      <c r="B68" s="131"/>
      <c r="H68" s="499"/>
      <c r="I68" s="499"/>
    </row>
    <row r="69" spans="1:10" ht="13.5" thickBot="1">
      <c r="A69" s="362"/>
      <c r="B69" s="579" t="s">
        <v>85</v>
      </c>
      <c r="C69" s="580"/>
      <c r="D69" s="580"/>
      <c r="E69" s="580"/>
      <c r="F69" s="580"/>
      <c r="G69" s="580"/>
      <c r="H69" s="500">
        <f>(H12+H26+H37+H43+H45+H47+H49+H54+H51)</f>
        <v>2401065</v>
      </c>
      <c r="I69" s="501">
        <f>(I12+I26+I37+I43+I45+I47+I49+I54+I51)</f>
        <v>2453256</v>
      </c>
      <c r="J69" s="332"/>
    </row>
    <row r="70" spans="1:9" ht="10.5" customHeight="1">
      <c r="A70" s="357"/>
      <c r="B70" s="131"/>
      <c r="H70" s="499"/>
      <c r="I70" s="499"/>
    </row>
    <row r="71" spans="1:9" ht="12.75">
      <c r="A71" s="357"/>
      <c r="B71" s="577" t="s">
        <v>67</v>
      </c>
      <c r="C71" s="578"/>
      <c r="D71" s="578"/>
      <c r="H71" s="499"/>
      <c r="I71" s="499"/>
    </row>
    <row r="72" spans="1:9" ht="12.75">
      <c r="A72" s="357"/>
      <c r="B72" s="131"/>
      <c r="H72" s="499"/>
      <c r="I72" s="499"/>
    </row>
    <row r="73" spans="1:9" ht="12.75">
      <c r="A73" s="358"/>
      <c r="B73" s="575" t="s">
        <v>86</v>
      </c>
      <c r="C73" s="576"/>
      <c r="D73" s="576"/>
      <c r="H73" s="499">
        <v>0</v>
      </c>
      <c r="I73" s="499">
        <v>0</v>
      </c>
    </row>
    <row r="74" spans="1:9" ht="12.75">
      <c r="A74" s="358"/>
      <c r="B74" s="575" t="s">
        <v>87</v>
      </c>
      <c r="C74" s="576"/>
      <c r="D74" s="576"/>
      <c r="H74" s="499">
        <v>342857</v>
      </c>
      <c r="I74" s="499">
        <v>359485</v>
      </c>
    </row>
    <row r="75" spans="1:9" ht="12.75">
      <c r="A75" s="361"/>
      <c r="B75" s="130"/>
      <c r="C75" s="143"/>
      <c r="D75" s="143"/>
      <c r="E75" s="143"/>
      <c r="F75" s="143"/>
      <c r="G75" s="143"/>
      <c r="H75" s="502"/>
      <c r="I75" s="502"/>
    </row>
    <row r="76" spans="2:9" ht="12.75">
      <c r="B76" s="134"/>
      <c r="H76" s="503"/>
      <c r="I76" s="503"/>
    </row>
    <row r="77" spans="2:9" ht="12.75">
      <c r="B77" s="134"/>
      <c r="H77" s="503"/>
      <c r="I77" s="503"/>
    </row>
    <row r="78" spans="2:9" ht="12.75">
      <c r="B78" s="134"/>
      <c r="H78" s="503"/>
      <c r="I78" s="503"/>
    </row>
    <row r="79" spans="2:9" ht="12.75">
      <c r="B79" s="134"/>
      <c r="H79" s="503"/>
      <c r="I79" s="503"/>
    </row>
    <row r="80" spans="2:9" ht="12.75">
      <c r="B80" s="134"/>
      <c r="H80" s="503"/>
      <c r="I80" s="503"/>
    </row>
    <row r="81" spans="2:9" ht="12.75">
      <c r="B81" s="134"/>
      <c r="H81" s="503"/>
      <c r="I81" s="503"/>
    </row>
    <row r="82" spans="2:9" ht="12.75">
      <c r="B82" s="134"/>
      <c r="H82" s="503"/>
      <c r="I82" s="503"/>
    </row>
    <row r="83" spans="2:9" ht="12.75">
      <c r="B83" s="134"/>
      <c r="H83" s="503"/>
      <c r="I83" s="503"/>
    </row>
    <row r="84" ht="12.75">
      <c r="B84" s="134"/>
    </row>
    <row r="85" ht="12.75">
      <c r="B85" s="134"/>
    </row>
    <row r="86" ht="12.75">
      <c r="B86" s="134"/>
    </row>
    <row r="87" ht="12.75">
      <c r="B87" s="134"/>
    </row>
    <row r="88" ht="12.75">
      <c r="B88" s="134"/>
    </row>
    <row r="89" ht="12.75">
      <c r="B89" s="134"/>
    </row>
    <row r="90" ht="12.75">
      <c r="B90" s="134"/>
    </row>
    <row r="91" ht="12.75">
      <c r="B91" s="134"/>
    </row>
    <row r="92" ht="12.75">
      <c r="B92" s="134"/>
    </row>
    <row r="93" ht="12.75">
      <c r="B93" s="134"/>
    </row>
    <row r="94" ht="12.75">
      <c r="B94" s="134"/>
    </row>
    <row r="95" ht="12.75">
      <c r="B95" s="134"/>
    </row>
    <row r="96" ht="12.75">
      <c r="B96" s="134"/>
    </row>
  </sheetData>
  <mergeCells count="8">
    <mergeCell ref="H9:H10"/>
    <mergeCell ref="I9:I10"/>
    <mergeCell ref="B9:G10"/>
    <mergeCell ref="A9:A10"/>
    <mergeCell ref="B73:D73"/>
    <mergeCell ref="B74:D74"/>
    <mergeCell ref="B71:D71"/>
    <mergeCell ref="B69:G69"/>
  </mergeCells>
  <printOptions horizontalCentered="1" verticalCentered="1"/>
  <pageMargins left="0.1968503937007874" right="0.1968503937007874" top="0.1968503937007874" bottom="0" header="0.4330708661417323" footer="0.5118110236220472"/>
  <pageSetup horizontalDpi="300" verticalDpi="300" orientation="portrait" paperSize="9" scale="80" r:id="rId2"/>
  <headerFooter alignWithMargins="0">
    <oddHeader>&amp;R&amp;"Arial,Gras"&amp;18BILAN &amp;B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U139"/>
  <sheetViews>
    <sheetView tabSelected="1" workbookViewId="0" topLeftCell="A30">
      <selection activeCell="E48" sqref="E48"/>
    </sheetView>
  </sheetViews>
  <sheetFormatPr defaultColWidth="11.421875" defaultRowHeight="12.75"/>
  <cols>
    <col min="1" max="2" width="8.421875" style="144" customWidth="1"/>
    <col min="3" max="3" width="9.28125" style="144" customWidth="1"/>
    <col min="4" max="4" width="9.00390625" style="144" customWidth="1"/>
    <col min="5" max="5" width="9.28125" style="144" customWidth="1"/>
    <col min="6" max="6" width="8.8515625" style="144" customWidth="1"/>
    <col min="7" max="7" width="2.7109375" style="144" customWidth="1"/>
    <col min="8" max="8" width="2.57421875" style="144" customWidth="1"/>
    <col min="9" max="9" width="2.421875" style="144" customWidth="1"/>
    <col min="10" max="10" width="50.421875" style="144" customWidth="1"/>
    <col min="11" max="11" width="9.57421875" style="144" customWidth="1"/>
    <col min="12" max="12" width="9.421875" style="144" customWidth="1"/>
    <col min="13" max="13" width="8.57421875" style="144" customWidth="1"/>
    <col min="14" max="14" width="6.140625" style="144" hidden="1" customWidth="1"/>
    <col min="15" max="15" width="11.421875" style="144" customWidth="1"/>
    <col min="16" max="16" width="12.140625" style="144" customWidth="1"/>
    <col min="17" max="17" width="12.8515625" style="145" bestFit="1" customWidth="1"/>
    <col min="18" max="18" width="11.421875" style="144" customWidth="1"/>
    <col min="19" max="19" width="11.8515625" style="145" bestFit="1" customWidth="1"/>
    <col min="20" max="20" width="12.421875" style="145" bestFit="1" customWidth="1"/>
    <col min="21" max="21" width="11.421875" style="145" customWidth="1"/>
    <col min="22" max="22" width="11.8515625" style="144" bestFit="1" customWidth="1"/>
    <col min="23" max="16384" width="11.421875" style="144" customWidth="1"/>
  </cols>
  <sheetData>
    <row r="2" spans="4:10" ht="15.75">
      <c r="D2" s="479"/>
      <c r="E2" s="479"/>
      <c r="F2" s="479"/>
      <c r="G2" s="479"/>
      <c r="J2" s="146"/>
    </row>
    <row r="3" spans="1:10" ht="27" thickBot="1">
      <c r="A3" s="147"/>
      <c r="B3" s="147"/>
      <c r="C3" s="478"/>
      <c r="J3" s="146"/>
    </row>
    <row r="4" spans="1:14" ht="13.5" thickTop="1">
      <c r="A4" s="592" t="s">
        <v>181</v>
      </c>
      <c r="B4" s="593"/>
      <c r="C4" s="594"/>
      <c r="D4" s="592" t="s">
        <v>182</v>
      </c>
      <c r="E4" s="593"/>
      <c r="F4" s="593"/>
      <c r="G4" s="598" t="s">
        <v>221</v>
      </c>
      <c r="H4" s="599"/>
      <c r="I4" s="599"/>
      <c r="J4" s="600"/>
      <c r="K4" s="593" t="s">
        <v>25</v>
      </c>
      <c r="L4" s="593"/>
      <c r="M4" s="594"/>
      <c r="N4" s="148"/>
    </row>
    <row r="5" spans="1:14" ht="13.5" thickBot="1">
      <c r="A5" s="595"/>
      <c r="B5" s="596"/>
      <c r="C5" s="597"/>
      <c r="D5" s="595"/>
      <c r="E5" s="596"/>
      <c r="F5" s="596"/>
      <c r="G5" s="601"/>
      <c r="H5" s="602"/>
      <c r="I5" s="602"/>
      <c r="J5" s="603"/>
      <c r="K5" s="596"/>
      <c r="L5" s="596"/>
      <c r="M5" s="597"/>
      <c r="N5" s="151" t="s">
        <v>88</v>
      </c>
    </row>
    <row r="6" spans="1:14" ht="15" customHeight="1" thickBot="1">
      <c r="A6" s="526">
        <v>39447</v>
      </c>
      <c r="B6" s="527">
        <v>39263</v>
      </c>
      <c r="C6" s="528">
        <v>39629</v>
      </c>
      <c r="D6" s="526">
        <v>39447</v>
      </c>
      <c r="E6" s="527">
        <v>39263</v>
      </c>
      <c r="F6" s="528">
        <v>39629</v>
      </c>
      <c r="G6" s="604"/>
      <c r="H6" s="596"/>
      <c r="I6" s="596"/>
      <c r="J6" s="605"/>
      <c r="K6" s="526">
        <v>39447</v>
      </c>
      <c r="L6" s="527">
        <v>39263</v>
      </c>
      <c r="M6" s="528">
        <v>39629</v>
      </c>
      <c r="N6" s="375"/>
    </row>
    <row r="7" spans="1:14" ht="13.5" thickTop="1">
      <c r="A7" s="376"/>
      <c r="B7" s="378"/>
      <c r="C7" s="377"/>
      <c r="D7" s="378"/>
      <c r="E7" s="378"/>
      <c r="F7" s="378"/>
      <c r="G7" s="379"/>
      <c r="H7" s="379"/>
      <c r="I7" s="379"/>
      <c r="J7" s="380"/>
      <c r="K7" s="378"/>
      <c r="L7" s="379"/>
      <c r="M7" s="529"/>
      <c r="N7" s="366"/>
    </row>
    <row r="8" spans="1:14" ht="12.75">
      <c r="A8" s="371"/>
      <c r="B8" s="153"/>
      <c r="C8" s="152"/>
      <c r="D8" s="153"/>
      <c r="E8" s="153"/>
      <c r="F8" s="153"/>
      <c r="G8" s="149"/>
      <c r="H8" s="154" t="s">
        <v>89</v>
      </c>
      <c r="I8" s="149"/>
      <c r="J8" s="150"/>
      <c r="K8" s="153"/>
      <c r="L8" s="149"/>
      <c r="M8" s="530"/>
      <c r="N8" s="367"/>
    </row>
    <row r="9" spans="1:14" ht="12.75">
      <c r="A9" s="371"/>
      <c r="B9" s="153"/>
      <c r="C9" s="152"/>
      <c r="D9" s="153"/>
      <c r="E9" s="153"/>
      <c r="F9" s="153"/>
      <c r="G9" s="149"/>
      <c r="H9" s="149"/>
      <c r="I9" s="149"/>
      <c r="J9" s="150"/>
      <c r="K9" s="153"/>
      <c r="L9" s="149"/>
      <c r="M9" s="530"/>
      <c r="N9" s="153"/>
    </row>
    <row r="10" spans="1:21" s="147" customFormat="1" ht="12.75">
      <c r="A10" s="155">
        <f aca="true" t="shared" si="0" ref="A10:F10">SUM(A11:A16)</f>
        <v>58597</v>
      </c>
      <c r="B10" s="155">
        <f>SUM(B11:B16)</f>
        <v>26900</v>
      </c>
      <c r="C10" s="155">
        <f t="shared" si="0"/>
        <v>33381</v>
      </c>
      <c r="D10" s="156">
        <f t="shared" si="0"/>
        <v>102526</v>
      </c>
      <c r="E10" s="156">
        <f>SUM(E11:E16)</f>
        <v>50761.99988999999</v>
      </c>
      <c r="F10" s="156">
        <f t="shared" si="0"/>
        <v>53573</v>
      </c>
      <c r="G10" s="154"/>
      <c r="H10" s="154" t="s">
        <v>90</v>
      </c>
      <c r="I10" s="154"/>
      <c r="J10" s="157"/>
      <c r="K10" s="156">
        <f aca="true" t="shared" si="1" ref="K10:M12">D10-A10</f>
        <v>43929</v>
      </c>
      <c r="L10" s="156">
        <f>E10-B10</f>
        <v>23861.999889999992</v>
      </c>
      <c r="M10" s="531">
        <f t="shared" si="1"/>
        <v>20192</v>
      </c>
      <c r="N10" s="368"/>
      <c r="Q10" s="158"/>
      <c r="S10" s="158"/>
      <c r="T10" s="158"/>
      <c r="U10" s="158"/>
    </row>
    <row r="11" spans="1:21" s="165" customFormat="1" ht="12.75">
      <c r="A11" s="159">
        <f>40126+187</f>
        <v>40313</v>
      </c>
      <c r="B11" s="159">
        <f>37+41+17806+1+77+84</f>
        <v>18046</v>
      </c>
      <c r="C11" s="159">
        <f>24+176+23233+1+55+92</f>
        <v>23581</v>
      </c>
      <c r="D11" s="160">
        <v>11983</v>
      </c>
      <c r="E11" s="160">
        <f>+(317137.2+155001.57+1207372.04+4600624.77+49252.69+31539.61+2000)/1000</f>
        <v>6362.927880000001</v>
      </c>
      <c r="F11" s="160">
        <f>391+209+450+4669+15</f>
        <v>5734</v>
      </c>
      <c r="G11" s="161"/>
      <c r="H11" s="162"/>
      <c r="I11" s="162" t="s">
        <v>91</v>
      </c>
      <c r="J11" s="163"/>
      <c r="K11" s="164">
        <f t="shared" si="1"/>
        <v>-28330</v>
      </c>
      <c r="L11" s="532">
        <f>E11-B11</f>
        <v>-11683.072119999999</v>
      </c>
      <c r="M11" s="533">
        <f t="shared" si="1"/>
        <v>-17847</v>
      </c>
      <c r="N11" s="153">
        <v>18</v>
      </c>
      <c r="Q11" s="166"/>
      <c r="S11" s="166"/>
      <c r="T11" s="166"/>
      <c r="U11" s="166"/>
    </row>
    <row r="12" spans="1:21" s="165" customFormat="1" ht="12.75">
      <c r="A12" s="159">
        <f>16340-21</f>
        <v>16319</v>
      </c>
      <c r="B12" s="159">
        <v>8000</v>
      </c>
      <c r="C12" s="159">
        <f>23+64+1865+143+1366+540+2388+263+96+1252+329+13+70-1</f>
        <v>8411</v>
      </c>
      <c r="D12" s="160">
        <v>87270</v>
      </c>
      <c r="E12" s="160">
        <f>+(989191.47+54253.33+3066202.39+7961764.85+25297798.84-310602-43728.23+3278306.33-4537.09+789929.73+1450.62+858301.1+778421+50463.5+13597.8+33782.31+2000)/1000</f>
        <v>42816.59594999999</v>
      </c>
      <c r="F12" s="160">
        <f>1146+75+3434+8179+27771-232-27+3699-2+763+1+126+849+2</f>
        <v>45784</v>
      </c>
      <c r="G12" s="161"/>
      <c r="H12" s="162"/>
      <c r="I12" s="162" t="s">
        <v>92</v>
      </c>
      <c r="J12" s="163"/>
      <c r="K12" s="164">
        <f t="shared" si="1"/>
        <v>70951</v>
      </c>
      <c r="L12" s="532">
        <f>E12-B12</f>
        <v>34816.59594999999</v>
      </c>
      <c r="M12" s="533">
        <f t="shared" si="1"/>
        <v>37373</v>
      </c>
      <c r="N12" s="153">
        <v>19</v>
      </c>
      <c r="Q12" s="166"/>
      <c r="S12" s="166"/>
      <c r="T12" s="166"/>
      <c r="U12" s="166"/>
    </row>
    <row r="13" spans="1:21" s="165" customFormat="1" ht="12.75">
      <c r="A13" s="159"/>
      <c r="B13" s="159">
        <f>+A13/2</f>
        <v>0</v>
      </c>
      <c r="C13" s="159"/>
      <c r="D13" s="160"/>
      <c r="E13" s="160">
        <f>+D13/2</f>
        <v>0</v>
      </c>
      <c r="F13" s="160"/>
      <c r="G13" s="161"/>
      <c r="H13" s="162"/>
      <c r="I13" s="162" t="s">
        <v>93</v>
      </c>
      <c r="J13" s="163"/>
      <c r="K13" s="164"/>
      <c r="L13" s="532">
        <f>+K13/2</f>
        <v>0</v>
      </c>
      <c r="M13" s="533"/>
      <c r="N13" s="153"/>
      <c r="Q13" s="166"/>
      <c r="S13" s="166"/>
      <c r="T13" s="166"/>
      <c r="U13" s="166"/>
    </row>
    <row r="14" spans="1:21" s="165" customFormat="1" ht="12.75">
      <c r="A14" s="159">
        <f>1944+21</f>
        <v>1965</v>
      </c>
      <c r="B14" s="159">
        <f>19+835</f>
        <v>854</v>
      </c>
      <c r="C14" s="159">
        <f>10+1379</f>
        <v>1389</v>
      </c>
      <c r="D14" s="160"/>
      <c r="E14" s="160">
        <f>+D14/2</f>
        <v>0</v>
      </c>
      <c r="F14" s="160"/>
      <c r="G14" s="161"/>
      <c r="H14" s="162"/>
      <c r="I14" s="162" t="s">
        <v>94</v>
      </c>
      <c r="J14" s="163"/>
      <c r="K14" s="164">
        <f aca="true" t="shared" si="2" ref="K14:M15">D14-A14</f>
        <v>-1965</v>
      </c>
      <c r="L14" s="532">
        <f>E14-B14</f>
        <v>-854</v>
      </c>
      <c r="M14" s="533">
        <f t="shared" si="2"/>
        <v>-1389</v>
      </c>
      <c r="N14" s="153"/>
      <c r="Q14" s="166"/>
      <c r="S14" s="166"/>
      <c r="T14" s="166"/>
      <c r="U14" s="166"/>
    </row>
    <row r="15" spans="1:21" s="165" customFormat="1" ht="12.75">
      <c r="A15" s="159"/>
      <c r="B15" s="159"/>
      <c r="C15" s="159"/>
      <c r="D15" s="160">
        <v>3273</v>
      </c>
      <c r="E15" s="160">
        <f>(10776.4+549.72+1571149.94)/1000</f>
        <v>1582.47606</v>
      </c>
      <c r="F15" s="160">
        <f>137+1+1917</f>
        <v>2055</v>
      </c>
      <c r="G15" s="161"/>
      <c r="H15" s="162"/>
      <c r="I15" s="162" t="s">
        <v>95</v>
      </c>
      <c r="J15" s="163"/>
      <c r="K15" s="164">
        <f t="shared" si="2"/>
        <v>3273</v>
      </c>
      <c r="L15" s="532">
        <f>E15-B15</f>
        <v>1582.47606</v>
      </c>
      <c r="M15" s="533">
        <f t="shared" si="2"/>
        <v>2055</v>
      </c>
      <c r="N15" s="153"/>
      <c r="Q15" s="166"/>
      <c r="S15" s="166"/>
      <c r="T15" s="166"/>
      <c r="U15" s="166"/>
    </row>
    <row r="16" spans="1:21" s="165" customFormat="1" ht="12.75">
      <c r="A16" s="159"/>
      <c r="B16" s="159"/>
      <c r="C16" s="159"/>
      <c r="D16" s="160"/>
      <c r="E16" s="160"/>
      <c r="F16" s="160"/>
      <c r="G16" s="161"/>
      <c r="H16" s="162"/>
      <c r="I16" s="162"/>
      <c r="J16" s="163" t="s">
        <v>96</v>
      </c>
      <c r="K16" s="164">
        <f>D16-A16</f>
        <v>0</v>
      </c>
      <c r="L16" s="532"/>
      <c r="M16" s="533">
        <f>F16-C16</f>
        <v>0</v>
      </c>
      <c r="N16" s="153"/>
      <c r="Q16" s="166"/>
      <c r="S16" s="166"/>
      <c r="T16" s="166"/>
      <c r="U16" s="166"/>
    </row>
    <row r="17" spans="1:21" s="165" customFormat="1" ht="12.75">
      <c r="A17" s="159"/>
      <c r="B17" s="159"/>
      <c r="C17" s="159"/>
      <c r="D17" s="160"/>
      <c r="E17" s="160"/>
      <c r="F17" s="160"/>
      <c r="G17" s="161"/>
      <c r="H17" s="162"/>
      <c r="I17" s="162"/>
      <c r="J17" s="163"/>
      <c r="K17" s="164"/>
      <c r="L17" s="532"/>
      <c r="M17" s="533"/>
      <c r="N17" s="153"/>
      <c r="Q17" s="166"/>
      <c r="S17" s="166"/>
      <c r="T17" s="166"/>
      <c r="U17" s="166"/>
    </row>
    <row r="18" spans="1:14" ht="12.75">
      <c r="A18" s="167"/>
      <c r="B18" s="167"/>
      <c r="C18" s="167"/>
      <c r="D18" s="170">
        <f>D19</f>
        <v>979</v>
      </c>
      <c r="E18" s="170">
        <f>E19</f>
        <v>938</v>
      </c>
      <c r="F18" s="170">
        <f>F19</f>
        <v>174</v>
      </c>
      <c r="G18" s="149"/>
      <c r="H18" s="154" t="s">
        <v>196</v>
      </c>
      <c r="I18" s="154"/>
      <c r="J18" s="157"/>
      <c r="K18" s="156">
        <f>D18-A18</f>
        <v>979</v>
      </c>
      <c r="L18" s="156">
        <f>E18-B18</f>
        <v>938</v>
      </c>
      <c r="M18" s="531">
        <f>M19</f>
        <v>174</v>
      </c>
      <c r="N18" s="153"/>
    </row>
    <row r="19" spans="1:14" ht="12.75">
      <c r="A19" s="167"/>
      <c r="B19" s="167"/>
      <c r="C19" s="167"/>
      <c r="D19" s="160">
        <v>979</v>
      </c>
      <c r="E19" s="160">
        <v>938</v>
      </c>
      <c r="F19" s="160">
        <v>174</v>
      </c>
      <c r="G19" s="149"/>
      <c r="H19" s="154"/>
      <c r="I19" s="162" t="s">
        <v>126</v>
      </c>
      <c r="J19" s="157"/>
      <c r="K19" s="164">
        <f>D19-A19</f>
        <v>979</v>
      </c>
      <c r="L19" s="532">
        <f>E19-B19</f>
        <v>938</v>
      </c>
      <c r="M19" s="533">
        <f>F19-C19</f>
        <v>174</v>
      </c>
      <c r="N19" s="153"/>
    </row>
    <row r="20" spans="1:14" ht="12.75">
      <c r="A20" s="167"/>
      <c r="B20" s="167"/>
      <c r="C20" s="167"/>
      <c r="D20" s="168"/>
      <c r="E20" s="168"/>
      <c r="F20" s="168"/>
      <c r="G20" s="149"/>
      <c r="H20" s="154"/>
      <c r="I20" s="154"/>
      <c r="J20" s="157"/>
      <c r="K20" s="168"/>
      <c r="L20" s="534"/>
      <c r="M20" s="535"/>
      <c r="N20" s="153"/>
    </row>
    <row r="21" spans="1:21" s="147" customFormat="1" ht="12.75">
      <c r="A21" s="169"/>
      <c r="B21" s="169"/>
      <c r="C21" s="169"/>
      <c r="D21" s="170">
        <v>39239</v>
      </c>
      <c r="E21" s="170">
        <v>20741</v>
      </c>
      <c r="F21" s="170">
        <v>19352</v>
      </c>
      <c r="G21" s="171"/>
      <c r="H21" s="154" t="s">
        <v>97</v>
      </c>
      <c r="I21" s="154"/>
      <c r="J21" s="157"/>
      <c r="K21" s="156">
        <f>D21-A21</f>
        <v>39239</v>
      </c>
      <c r="L21" s="536">
        <f>E21-B21</f>
        <v>20741</v>
      </c>
      <c r="M21" s="531">
        <f>F21-C21</f>
        <v>19352</v>
      </c>
      <c r="N21" s="368"/>
      <c r="Q21" s="158"/>
      <c r="S21" s="158"/>
      <c r="T21" s="158"/>
      <c r="U21" s="158"/>
    </row>
    <row r="22" spans="1:21" s="147" customFormat="1" ht="12.75">
      <c r="A22" s="169"/>
      <c r="B22" s="169"/>
      <c r="C22" s="169"/>
      <c r="D22" s="170"/>
      <c r="E22" s="170"/>
      <c r="F22" s="170"/>
      <c r="G22" s="171"/>
      <c r="H22" s="154"/>
      <c r="I22" s="154"/>
      <c r="J22" s="157"/>
      <c r="K22" s="156"/>
      <c r="L22" s="536"/>
      <c r="M22" s="531"/>
      <c r="N22" s="368"/>
      <c r="Q22" s="158"/>
      <c r="S22" s="158"/>
      <c r="T22" s="158"/>
      <c r="U22" s="158"/>
    </row>
    <row r="23" spans="1:21" s="147" customFormat="1" ht="12.75">
      <c r="A23" s="169">
        <v>4246</v>
      </c>
      <c r="B23" s="169">
        <v>3259</v>
      </c>
      <c r="C23" s="169">
        <v>1867</v>
      </c>
      <c r="D23" s="170"/>
      <c r="E23" s="170"/>
      <c r="F23" s="170"/>
      <c r="G23" s="171"/>
      <c r="H23" s="154" t="s">
        <v>98</v>
      </c>
      <c r="I23" s="154"/>
      <c r="J23" s="157"/>
      <c r="K23" s="156">
        <f>D23-A23</f>
        <v>-4246</v>
      </c>
      <c r="L23" s="536">
        <f>E23-B23</f>
        <v>-3259</v>
      </c>
      <c r="M23" s="531">
        <f>F23-C23</f>
        <v>-1867</v>
      </c>
      <c r="N23" s="368"/>
      <c r="Q23" s="158"/>
      <c r="S23" s="158"/>
      <c r="T23" s="158"/>
      <c r="U23" s="158"/>
    </row>
    <row r="24" spans="1:14" ht="12.75">
      <c r="A24" s="167"/>
      <c r="B24" s="167"/>
      <c r="C24" s="167"/>
      <c r="D24" s="168"/>
      <c r="E24" s="168"/>
      <c r="F24" s="168"/>
      <c r="G24" s="149"/>
      <c r="H24" s="149"/>
      <c r="I24" s="149"/>
      <c r="J24" s="150"/>
      <c r="K24" s="168"/>
      <c r="L24" s="534"/>
      <c r="M24" s="535"/>
      <c r="N24" s="153"/>
    </row>
    <row r="25" spans="1:21" s="147" customFormat="1" ht="12.75">
      <c r="A25" s="155">
        <f aca="true" t="shared" si="3" ref="A25:F25">SUM(A26:A27)</f>
        <v>1442</v>
      </c>
      <c r="B25" s="155">
        <f>SUM(B26:B27)</f>
        <v>0</v>
      </c>
      <c r="C25" s="155">
        <f t="shared" si="3"/>
        <v>52</v>
      </c>
      <c r="D25" s="155">
        <f t="shared" si="3"/>
        <v>1547</v>
      </c>
      <c r="E25" s="155">
        <f>SUM(E26:E27)</f>
        <v>0</v>
      </c>
      <c r="F25" s="155">
        <f t="shared" si="3"/>
        <v>96</v>
      </c>
      <c r="G25" s="154"/>
      <c r="H25" s="154" t="s">
        <v>134</v>
      </c>
      <c r="I25" s="154"/>
      <c r="J25" s="157"/>
      <c r="K25" s="156">
        <f>D25-A25</f>
        <v>105</v>
      </c>
      <c r="L25" s="156">
        <f>E25-B25</f>
        <v>0</v>
      </c>
      <c r="M25" s="531">
        <f>F25-C25</f>
        <v>44</v>
      </c>
      <c r="N25" s="368"/>
      <c r="Q25" s="158"/>
      <c r="S25" s="158"/>
      <c r="T25" s="158"/>
      <c r="U25" s="158"/>
    </row>
    <row r="26" spans="1:21" s="165" customFormat="1" ht="12.75">
      <c r="A26" s="159"/>
      <c r="B26" s="159"/>
      <c r="C26" s="159"/>
      <c r="D26" s="160">
        <v>0</v>
      </c>
      <c r="E26" s="160"/>
      <c r="F26" s="160">
        <v>0</v>
      </c>
      <c r="G26" s="161"/>
      <c r="H26" s="162"/>
      <c r="I26" s="162" t="s">
        <v>99</v>
      </c>
      <c r="J26" s="163"/>
      <c r="K26" s="164">
        <f>D26-A26</f>
        <v>0</v>
      </c>
      <c r="L26" s="532"/>
      <c r="M26" s="533">
        <f>F26-C26</f>
        <v>0</v>
      </c>
      <c r="N26" s="369"/>
      <c r="Q26" s="166"/>
      <c r="S26" s="166"/>
      <c r="T26" s="166"/>
      <c r="U26" s="166"/>
    </row>
    <row r="27" spans="1:21" s="165" customFormat="1" ht="12.75">
      <c r="A27" s="159">
        <v>1442</v>
      </c>
      <c r="B27" s="159"/>
      <c r="C27" s="159">
        <v>52</v>
      </c>
      <c r="D27" s="160">
        <v>1547</v>
      </c>
      <c r="E27" s="160"/>
      <c r="F27" s="160">
        <v>96</v>
      </c>
      <c r="G27" s="161"/>
      <c r="H27" s="162"/>
      <c r="I27" s="162" t="s">
        <v>100</v>
      </c>
      <c r="J27" s="163"/>
      <c r="K27" s="164">
        <f>D27-A27</f>
        <v>105</v>
      </c>
      <c r="L27" s="532">
        <f>E27-B27</f>
        <v>0</v>
      </c>
      <c r="M27" s="533">
        <f>F27-C27</f>
        <v>44</v>
      </c>
      <c r="N27" s="369"/>
      <c r="Q27" s="166"/>
      <c r="S27" s="166"/>
      <c r="T27" s="166"/>
      <c r="U27" s="166"/>
    </row>
    <row r="28" spans="1:21" s="165" customFormat="1" ht="12.75">
      <c r="A28" s="159"/>
      <c r="B28" s="159"/>
      <c r="C28" s="159"/>
      <c r="D28" s="160"/>
      <c r="E28" s="160"/>
      <c r="F28" s="160"/>
      <c r="G28" s="161"/>
      <c r="H28" s="162"/>
      <c r="I28" s="162"/>
      <c r="J28" s="163"/>
      <c r="K28" s="164"/>
      <c r="L28" s="532"/>
      <c r="M28" s="533"/>
      <c r="N28" s="369"/>
      <c r="Q28" s="166"/>
      <c r="S28" s="166"/>
      <c r="T28" s="166"/>
      <c r="U28" s="166"/>
    </row>
    <row r="29" spans="1:21" s="165" customFormat="1" ht="12.75">
      <c r="A29" s="169">
        <f aca="true" t="shared" si="4" ref="A29:F29">SUM(A30:A32)</f>
        <v>157</v>
      </c>
      <c r="B29" s="169">
        <f>SUM(B30:B32)</f>
        <v>65</v>
      </c>
      <c r="C29" s="169">
        <f t="shared" si="4"/>
        <v>-27</v>
      </c>
      <c r="D29" s="169">
        <f t="shared" si="4"/>
        <v>82</v>
      </c>
      <c r="E29" s="169">
        <f>SUM(E30:E32)</f>
        <v>41.633269999999996</v>
      </c>
      <c r="F29" s="169">
        <f t="shared" si="4"/>
        <v>-43</v>
      </c>
      <c r="G29" s="161"/>
      <c r="H29" s="154" t="s">
        <v>102</v>
      </c>
      <c r="I29" s="162"/>
      <c r="J29" s="163"/>
      <c r="K29" s="156">
        <f>SUM(K30:K32)</f>
        <v>-75</v>
      </c>
      <c r="L29" s="156">
        <f>SUM(L30:L32)</f>
        <v>-23.366730000000004</v>
      </c>
      <c r="M29" s="531">
        <f>SUM(M30:M32)</f>
        <v>-16</v>
      </c>
      <c r="N29" s="369"/>
      <c r="Q29" s="166"/>
      <c r="S29" s="166"/>
      <c r="T29" s="166"/>
      <c r="U29" s="166"/>
    </row>
    <row r="30" spans="1:21" s="165" customFormat="1" ht="12.75">
      <c r="A30" s="159"/>
      <c r="B30" s="159"/>
      <c r="C30" s="159"/>
      <c r="D30" s="160"/>
      <c r="E30" s="160"/>
      <c r="F30" s="160"/>
      <c r="G30" s="161"/>
      <c r="H30" s="154"/>
      <c r="I30" s="162" t="s">
        <v>103</v>
      </c>
      <c r="J30" s="163"/>
      <c r="K30" s="164">
        <f>D30-A30</f>
        <v>0</v>
      </c>
      <c r="L30" s="532"/>
      <c r="M30" s="533"/>
      <c r="N30" s="369"/>
      <c r="Q30" s="166"/>
      <c r="S30" s="166"/>
      <c r="T30" s="166"/>
      <c r="U30" s="166"/>
    </row>
    <row r="31" spans="1:21" s="165" customFormat="1" ht="12.75">
      <c r="A31" s="159"/>
      <c r="B31" s="159"/>
      <c r="C31" s="159"/>
      <c r="D31" s="160"/>
      <c r="E31" s="160"/>
      <c r="F31" s="160"/>
      <c r="G31" s="161"/>
      <c r="H31" s="154"/>
      <c r="I31" s="162" t="s">
        <v>104</v>
      </c>
      <c r="J31" s="163"/>
      <c r="K31" s="164"/>
      <c r="L31" s="532"/>
      <c r="M31" s="533"/>
      <c r="N31" s="369"/>
      <c r="Q31" s="166"/>
      <c r="S31" s="166"/>
      <c r="T31" s="166"/>
      <c r="U31" s="166"/>
    </row>
    <row r="32" spans="1:21" s="165" customFormat="1" ht="12.75">
      <c r="A32" s="159">
        <f>154+3</f>
        <v>157</v>
      </c>
      <c r="B32" s="159">
        <v>65</v>
      </c>
      <c r="C32" s="159">
        <f>-11-16</f>
        <v>-27</v>
      </c>
      <c r="D32" s="160">
        <f>55+65-38</f>
        <v>82</v>
      </c>
      <c r="E32" s="160">
        <f>(41633.27)/1000</f>
        <v>41.633269999999996</v>
      </c>
      <c r="F32" s="160">
        <f>-2-190+149</f>
        <v>-43</v>
      </c>
      <c r="G32" s="161"/>
      <c r="H32" s="162"/>
      <c r="I32" s="162" t="s">
        <v>101</v>
      </c>
      <c r="J32" s="163"/>
      <c r="K32" s="164">
        <f>D32-A32</f>
        <v>-75</v>
      </c>
      <c r="L32" s="532">
        <f>E32-B32</f>
        <v>-23.366730000000004</v>
      </c>
      <c r="M32" s="533">
        <f>F32-C32</f>
        <v>-16</v>
      </c>
      <c r="N32" s="369"/>
      <c r="Q32" s="166"/>
      <c r="S32" s="166"/>
      <c r="T32" s="166"/>
      <c r="U32" s="166"/>
    </row>
    <row r="33" spans="1:21" s="165" customFormat="1" ht="12.75">
      <c r="A33" s="159"/>
      <c r="B33" s="159"/>
      <c r="C33" s="159"/>
      <c r="D33" s="160"/>
      <c r="E33" s="160"/>
      <c r="F33" s="160"/>
      <c r="G33" s="161"/>
      <c r="H33" s="162"/>
      <c r="I33" s="162"/>
      <c r="J33" s="163"/>
      <c r="K33" s="164"/>
      <c r="L33" s="532"/>
      <c r="M33" s="533"/>
      <c r="N33" s="369"/>
      <c r="Q33" s="166"/>
      <c r="S33" s="166"/>
      <c r="T33" s="166"/>
      <c r="U33" s="166"/>
    </row>
    <row r="34" spans="1:21" s="147" customFormat="1" ht="12.75">
      <c r="A34" s="169"/>
      <c r="B34" s="169"/>
      <c r="C34" s="169"/>
      <c r="D34" s="170">
        <v>1813</v>
      </c>
      <c r="E34" s="170">
        <f>787563.7/1000</f>
        <v>787.5636999999999</v>
      </c>
      <c r="F34" s="170">
        <v>652</v>
      </c>
      <c r="G34" s="171"/>
      <c r="H34" s="154" t="s">
        <v>105</v>
      </c>
      <c r="I34" s="154"/>
      <c r="J34" s="157"/>
      <c r="K34" s="156">
        <f>D34-A34</f>
        <v>1813</v>
      </c>
      <c r="L34" s="536">
        <f>E34-B34</f>
        <v>787.5636999999999</v>
      </c>
      <c r="M34" s="531">
        <f>F34-C34</f>
        <v>652</v>
      </c>
      <c r="N34" s="368"/>
      <c r="Q34" s="158"/>
      <c r="S34" s="158"/>
      <c r="T34" s="158"/>
      <c r="U34" s="158"/>
    </row>
    <row r="35" spans="1:21" s="147" customFormat="1" ht="12.75">
      <c r="A35" s="169"/>
      <c r="B35" s="169"/>
      <c r="C35" s="169"/>
      <c r="D35" s="170"/>
      <c r="E35" s="170"/>
      <c r="F35" s="170"/>
      <c r="G35" s="171"/>
      <c r="H35" s="154"/>
      <c r="I35" s="154"/>
      <c r="J35" s="157"/>
      <c r="K35" s="156"/>
      <c r="L35" s="536"/>
      <c r="M35" s="531"/>
      <c r="N35" s="368"/>
      <c r="Q35" s="158"/>
      <c r="S35" s="158"/>
      <c r="T35" s="158"/>
      <c r="U35" s="158"/>
    </row>
    <row r="36" spans="1:21" s="147" customFormat="1" ht="12.75">
      <c r="A36" s="169">
        <v>2</v>
      </c>
      <c r="B36" s="169"/>
      <c r="C36" s="169"/>
      <c r="D36" s="170"/>
      <c r="E36" s="170"/>
      <c r="F36" s="170"/>
      <c r="G36" s="171"/>
      <c r="H36" s="154" t="s">
        <v>106</v>
      </c>
      <c r="I36" s="154"/>
      <c r="J36" s="157"/>
      <c r="K36" s="156">
        <f>D36-A36</f>
        <v>-2</v>
      </c>
      <c r="L36" s="536">
        <f>E36-B36</f>
        <v>0</v>
      </c>
      <c r="M36" s="531">
        <f>F36-C36</f>
        <v>0</v>
      </c>
      <c r="N36" s="368"/>
      <c r="Q36" s="158"/>
      <c r="S36" s="158"/>
      <c r="T36" s="158"/>
      <c r="U36" s="158"/>
    </row>
    <row r="37" spans="1:14" ht="13.5" thickBot="1">
      <c r="A37" s="372" t="s">
        <v>21</v>
      </c>
      <c r="B37" s="168"/>
      <c r="C37" s="167" t="s">
        <v>21</v>
      </c>
      <c r="D37" s="168"/>
      <c r="E37" s="168"/>
      <c r="F37" s="168"/>
      <c r="G37" s="149"/>
      <c r="H37" s="149"/>
      <c r="I37" s="149"/>
      <c r="J37" s="150"/>
      <c r="K37" s="168"/>
      <c r="L37" s="534"/>
      <c r="M37" s="537"/>
      <c r="N37" s="153"/>
    </row>
    <row r="38" spans="1:21" s="172" customFormat="1" ht="19.5" customHeight="1" thickBot="1">
      <c r="A38" s="539">
        <f>SUM(A10+A25+A34+A36+A23+A29)</f>
        <v>64444</v>
      </c>
      <c r="B38" s="539">
        <f>SUM(B10+B25+B34+B36+B23+B29)</f>
        <v>30224</v>
      </c>
      <c r="C38" s="540">
        <f>SUM(+C10+C18+C23+C25+C29+C36)</f>
        <v>35273</v>
      </c>
      <c r="D38" s="540">
        <f>SUM(D10+D21+D25+D34+D36+D29+D18)</f>
        <v>146186</v>
      </c>
      <c r="E38" s="540">
        <f>SUM(E10+E21+E25+E34+E36+E29+E18)</f>
        <v>73270.19686</v>
      </c>
      <c r="F38" s="540">
        <f>SUM(F10+F21+F25+F34+F18+F29)</f>
        <v>73804</v>
      </c>
      <c r="G38" s="541"/>
      <c r="H38" s="542" t="s">
        <v>237</v>
      </c>
      <c r="I38" s="542"/>
      <c r="J38" s="543"/>
      <c r="K38" s="544">
        <f>D38-A38</f>
        <v>81742</v>
      </c>
      <c r="L38" s="544">
        <f>E38-B38</f>
        <v>43046.19686</v>
      </c>
      <c r="M38" s="545">
        <f>F38-C38</f>
        <v>38531</v>
      </c>
      <c r="N38" s="153">
        <v>17</v>
      </c>
      <c r="Q38" s="173"/>
      <c r="S38" s="173"/>
      <c r="T38" s="173"/>
      <c r="U38" s="173"/>
    </row>
    <row r="39" spans="1:14" ht="12.75">
      <c r="A39" s="372"/>
      <c r="B39" s="168"/>
      <c r="C39" s="167"/>
      <c r="D39" s="168"/>
      <c r="E39" s="168"/>
      <c r="F39" s="168"/>
      <c r="G39" s="149"/>
      <c r="H39" s="149"/>
      <c r="I39" s="149"/>
      <c r="J39" s="150"/>
      <c r="K39" s="168"/>
      <c r="L39" s="534"/>
      <c r="M39" s="538"/>
      <c r="N39" s="153"/>
    </row>
    <row r="40" spans="1:14" ht="12.75">
      <c r="A40" s="167">
        <f>SUM(A41:A42)</f>
        <v>53966</v>
      </c>
      <c r="B40" s="167">
        <f>SUM(B41:B42)</f>
        <v>26537</v>
      </c>
      <c r="C40" s="167">
        <f>SUM(C41:C42)</f>
        <v>27007</v>
      </c>
      <c r="D40" s="168">
        <f>SUM(D41:D42)</f>
        <v>0</v>
      </c>
      <c r="E40" s="168"/>
      <c r="F40" s="168">
        <f>SUM(F41:F42)</f>
        <v>0</v>
      </c>
      <c r="G40" s="149"/>
      <c r="H40" s="154" t="s">
        <v>108</v>
      </c>
      <c r="I40" s="154"/>
      <c r="J40" s="150"/>
      <c r="K40" s="156">
        <f aca="true" t="shared" si="5" ref="K40:M42">D40-A40</f>
        <v>-53966</v>
      </c>
      <c r="L40" s="156">
        <f>E40-B40</f>
        <v>-26537</v>
      </c>
      <c r="M40" s="531">
        <f t="shared" si="5"/>
        <v>-27007</v>
      </c>
      <c r="N40" s="153"/>
    </row>
    <row r="41" spans="1:21" s="165" customFormat="1" ht="12.75">
      <c r="A41" s="159">
        <v>37397</v>
      </c>
      <c r="B41" s="167">
        <v>18420</v>
      </c>
      <c r="C41" s="159">
        <f>18971+1</f>
        <v>18972</v>
      </c>
      <c r="D41" s="164"/>
      <c r="E41" s="164"/>
      <c r="F41" s="164"/>
      <c r="G41" s="162"/>
      <c r="H41" s="162"/>
      <c r="I41" s="162" t="s">
        <v>223</v>
      </c>
      <c r="J41" s="163"/>
      <c r="K41" s="164">
        <f t="shared" si="5"/>
        <v>-37397</v>
      </c>
      <c r="L41" s="532">
        <f>E41-B41</f>
        <v>-18420</v>
      </c>
      <c r="M41" s="533">
        <f t="shared" si="5"/>
        <v>-18972</v>
      </c>
      <c r="N41" s="153">
        <v>21</v>
      </c>
      <c r="Q41" s="166"/>
      <c r="S41" s="166"/>
      <c r="T41" s="166"/>
      <c r="U41" s="166"/>
    </row>
    <row r="42" spans="1:21" s="165" customFormat="1" ht="12.75">
      <c r="A42" s="159">
        <v>16569</v>
      </c>
      <c r="B42" s="167">
        <v>8117</v>
      </c>
      <c r="C42" s="159">
        <v>8035</v>
      </c>
      <c r="D42" s="164"/>
      <c r="E42" s="164"/>
      <c r="F42" s="164"/>
      <c r="G42" s="162"/>
      <c r="H42" s="162"/>
      <c r="I42" s="162" t="s">
        <v>109</v>
      </c>
      <c r="J42" s="163"/>
      <c r="K42" s="164">
        <f t="shared" si="5"/>
        <v>-16569</v>
      </c>
      <c r="L42" s="532">
        <f>E42-B42</f>
        <v>-8117</v>
      </c>
      <c r="M42" s="533">
        <f t="shared" si="5"/>
        <v>-8035</v>
      </c>
      <c r="N42" s="369"/>
      <c r="Q42" s="166"/>
      <c r="S42" s="166"/>
      <c r="T42" s="166"/>
      <c r="U42" s="166"/>
    </row>
    <row r="43" spans="1:14" ht="12.75">
      <c r="A43" s="167"/>
      <c r="B43" s="167">
        <f>+A43/2</f>
        <v>0</v>
      </c>
      <c r="C43" s="167"/>
      <c r="D43" s="168"/>
      <c r="E43" s="168"/>
      <c r="F43" s="168"/>
      <c r="G43" s="149"/>
      <c r="H43" s="149"/>
      <c r="I43" s="149"/>
      <c r="J43" s="150"/>
      <c r="K43" s="168"/>
      <c r="L43" s="534"/>
      <c r="M43" s="535"/>
      <c r="N43" s="153"/>
    </row>
    <row r="44" spans="1:14" ht="12.75">
      <c r="A44" s="174">
        <v>2995</v>
      </c>
      <c r="B44" s="167">
        <v>1588</v>
      </c>
      <c r="C44" s="174">
        <v>1487</v>
      </c>
      <c r="D44" s="168"/>
      <c r="E44" s="168"/>
      <c r="F44" s="168"/>
      <c r="G44" s="149"/>
      <c r="H44" s="154" t="s">
        <v>210</v>
      </c>
      <c r="I44" s="149"/>
      <c r="J44" s="150"/>
      <c r="K44" s="156">
        <f>D44-A44</f>
        <v>-2995</v>
      </c>
      <c r="L44" s="536">
        <f>-B44</f>
        <v>-1588</v>
      </c>
      <c r="M44" s="531">
        <f>F44-C44</f>
        <v>-1487</v>
      </c>
      <c r="N44" s="153">
        <v>8</v>
      </c>
    </row>
    <row r="45" spans="1:14" ht="13.5" thickBot="1">
      <c r="A45" s="372"/>
      <c r="B45" s="168"/>
      <c r="C45" s="167"/>
      <c r="D45" s="168"/>
      <c r="E45" s="168"/>
      <c r="F45" s="168"/>
      <c r="G45" s="149"/>
      <c r="H45" s="149"/>
      <c r="I45" s="149"/>
      <c r="J45" s="150"/>
      <c r="K45" s="168"/>
      <c r="L45" s="534"/>
      <c r="M45" s="535"/>
      <c r="N45" s="153"/>
    </row>
    <row r="46" spans="1:16" ht="19.5" customHeight="1" thickBot="1">
      <c r="A46" s="539">
        <f aca="true" t="shared" si="6" ref="A46:F46">SUM(A38+A40+A44)</f>
        <v>121405</v>
      </c>
      <c r="B46" s="539">
        <f t="shared" si="6"/>
        <v>58349</v>
      </c>
      <c r="C46" s="540">
        <f t="shared" si="6"/>
        <v>63767</v>
      </c>
      <c r="D46" s="540">
        <f t="shared" si="6"/>
        <v>146186</v>
      </c>
      <c r="E46" s="540">
        <f t="shared" si="6"/>
        <v>73270.19686</v>
      </c>
      <c r="F46" s="540">
        <f t="shared" si="6"/>
        <v>73804</v>
      </c>
      <c r="G46" s="546"/>
      <c r="H46" s="547" t="s">
        <v>110</v>
      </c>
      <c r="I46" s="547"/>
      <c r="J46" s="547"/>
      <c r="K46" s="540">
        <f>D46-A46</f>
        <v>24781</v>
      </c>
      <c r="L46" s="540">
        <f>E46-B46</f>
        <v>14921.196859999996</v>
      </c>
      <c r="M46" s="540">
        <f>F46-C46</f>
        <v>10037</v>
      </c>
      <c r="N46" s="364"/>
      <c r="O46" s="172"/>
      <c r="P46" s="172"/>
    </row>
    <row r="47" spans="1:14" ht="12.75">
      <c r="A47" s="372"/>
      <c r="B47" s="168"/>
      <c r="C47" s="167"/>
      <c r="D47" s="168"/>
      <c r="E47" s="168"/>
      <c r="F47" s="168"/>
      <c r="G47" s="149"/>
      <c r="H47" s="149"/>
      <c r="I47" s="149"/>
      <c r="J47" s="150"/>
      <c r="K47" s="168"/>
      <c r="L47" s="534"/>
      <c r="M47" s="535"/>
      <c r="N47" s="153"/>
    </row>
    <row r="48" spans="1:14" ht="12.75">
      <c r="A48" s="174">
        <f>6793+3724+126+1</f>
        <v>10644</v>
      </c>
      <c r="B48" s="174">
        <f>2529+46</f>
        <v>2575</v>
      </c>
      <c r="C48" s="174">
        <v>2654</v>
      </c>
      <c r="D48" s="175">
        <f>11462+137</f>
        <v>11599</v>
      </c>
      <c r="E48" s="175">
        <v>4390</v>
      </c>
      <c r="F48" s="175">
        <v>2843</v>
      </c>
      <c r="G48" s="176"/>
      <c r="H48" s="154" t="s">
        <v>111</v>
      </c>
      <c r="I48" s="149"/>
      <c r="J48" s="150"/>
      <c r="K48" s="168">
        <f>D48-A48</f>
        <v>955</v>
      </c>
      <c r="L48" s="534">
        <f>E48-B48</f>
        <v>1815</v>
      </c>
      <c r="M48" s="535">
        <f>F48-C48</f>
        <v>189</v>
      </c>
      <c r="N48" s="153">
        <v>5</v>
      </c>
    </row>
    <row r="49" spans="1:14" ht="13.5" thickBot="1">
      <c r="A49" s="372"/>
      <c r="B49" s="168"/>
      <c r="C49" s="167"/>
      <c r="D49" s="168"/>
      <c r="E49" s="168"/>
      <c r="F49" s="168"/>
      <c r="G49" s="149"/>
      <c r="H49" s="149"/>
      <c r="I49" s="149"/>
      <c r="J49" s="150"/>
      <c r="K49" s="168"/>
      <c r="L49" s="534"/>
      <c r="M49" s="535"/>
      <c r="N49" s="153"/>
    </row>
    <row r="50" spans="1:16" ht="19.5" customHeight="1" thickBot="1">
      <c r="A50" s="539">
        <f aca="true" t="shared" si="7" ref="A50:F50">SUM(A46+A48)</f>
        <v>132049</v>
      </c>
      <c r="B50" s="539">
        <f t="shared" si="7"/>
        <v>60924</v>
      </c>
      <c r="C50" s="540">
        <f t="shared" si="7"/>
        <v>66421</v>
      </c>
      <c r="D50" s="540">
        <f t="shared" si="7"/>
        <v>157785</v>
      </c>
      <c r="E50" s="540">
        <f t="shared" si="7"/>
        <v>77660.19686</v>
      </c>
      <c r="F50" s="540">
        <f t="shared" si="7"/>
        <v>76647</v>
      </c>
      <c r="G50" s="541"/>
      <c r="H50" s="542" t="s">
        <v>183</v>
      </c>
      <c r="I50" s="542"/>
      <c r="J50" s="542"/>
      <c r="K50" s="540">
        <f>D50-A50</f>
        <v>25736</v>
      </c>
      <c r="L50" s="540">
        <f>E50-B50</f>
        <v>16736.196859999996</v>
      </c>
      <c r="M50" s="540">
        <f>F50-C50</f>
        <v>10226</v>
      </c>
      <c r="N50" s="364"/>
      <c r="O50" s="172"/>
      <c r="P50" s="172"/>
    </row>
    <row r="51" spans="1:14" ht="12.75">
      <c r="A51" s="372"/>
      <c r="B51" s="168"/>
      <c r="C51" s="167"/>
      <c r="D51" s="168"/>
      <c r="E51" s="168"/>
      <c r="F51" s="168"/>
      <c r="G51" s="149"/>
      <c r="H51" s="149"/>
      <c r="I51" s="149"/>
      <c r="J51" s="150"/>
      <c r="K51" s="168"/>
      <c r="L51" s="534"/>
      <c r="M51" s="535"/>
      <c r="N51" s="153"/>
    </row>
    <row r="52" spans="1:14" ht="12.75">
      <c r="A52" s="174">
        <f>2+276</f>
        <v>278</v>
      </c>
      <c r="B52" s="174">
        <f>8+2</f>
        <v>10</v>
      </c>
      <c r="C52" s="174">
        <v>32</v>
      </c>
      <c r="D52" s="175">
        <f>188+99</f>
        <v>287</v>
      </c>
      <c r="E52" s="175"/>
      <c r="F52" s="175">
        <v>15</v>
      </c>
      <c r="G52" s="176"/>
      <c r="H52" s="154" t="s">
        <v>224</v>
      </c>
      <c r="I52" s="149"/>
      <c r="J52" s="150"/>
      <c r="K52" s="168">
        <f>D52-A52</f>
        <v>9</v>
      </c>
      <c r="L52" s="534">
        <f>E52-B52</f>
        <v>-10</v>
      </c>
      <c r="M52" s="535">
        <f>F52-C52</f>
        <v>-17</v>
      </c>
      <c r="N52" s="153"/>
    </row>
    <row r="53" spans="1:14" ht="12.75">
      <c r="A53" s="373"/>
      <c r="B53" s="175"/>
      <c r="C53" s="174"/>
      <c r="D53" s="175"/>
      <c r="E53" s="175"/>
      <c r="F53" s="175"/>
      <c r="G53" s="176"/>
      <c r="H53" s="149"/>
      <c r="I53" s="149"/>
      <c r="J53" s="150"/>
      <c r="K53" s="168">
        <f>D53-A53</f>
        <v>0</v>
      </c>
      <c r="L53" s="534"/>
      <c r="M53" s="535">
        <f>F53-C53</f>
        <v>0</v>
      </c>
      <c r="N53" s="153"/>
    </row>
    <row r="54" spans="1:14" ht="12.75">
      <c r="A54" s="373"/>
      <c r="B54" s="175"/>
      <c r="C54" s="174"/>
      <c r="D54" s="175"/>
      <c r="E54" s="175"/>
      <c r="F54" s="175"/>
      <c r="G54" s="176"/>
      <c r="H54" s="149"/>
      <c r="I54" s="149"/>
      <c r="J54" s="150"/>
      <c r="K54" s="168">
        <f>D54-A54</f>
        <v>0</v>
      </c>
      <c r="L54" s="534"/>
      <c r="M54" s="535">
        <f>F54-C54</f>
        <v>0</v>
      </c>
      <c r="N54" s="153"/>
    </row>
    <row r="55" spans="1:14" ht="13.5" thickBot="1">
      <c r="A55" s="372"/>
      <c r="B55" s="168"/>
      <c r="C55" s="167"/>
      <c r="D55" s="168"/>
      <c r="E55" s="168"/>
      <c r="F55" s="168"/>
      <c r="G55" s="149"/>
      <c r="H55" s="374"/>
      <c r="I55" s="149"/>
      <c r="J55" s="150"/>
      <c r="K55" s="168"/>
      <c r="L55" s="534"/>
      <c r="M55" s="535"/>
      <c r="N55" s="153"/>
    </row>
    <row r="56" spans="1:16" ht="19.5" customHeight="1" thickBot="1">
      <c r="A56" s="539">
        <f aca="true" t="shared" si="8" ref="A56:F56">SUM(A50:A54)</f>
        <v>132327</v>
      </c>
      <c r="B56" s="539">
        <f t="shared" si="8"/>
        <v>60934</v>
      </c>
      <c r="C56" s="540">
        <f t="shared" si="8"/>
        <v>66453</v>
      </c>
      <c r="D56" s="540">
        <f t="shared" si="8"/>
        <v>158072</v>
      </c>
      <c r="E56" s="540">
        <f t="shared" si="8"/>
        <v>77660.19686</v>
      </c>
      <c r="F56" s="544">
        <f t="shared" si="8"/>
        <v>76662</v>
      </c>
      <c r="G56" s="541"/>
      <c r="H56" s="542" t="s">
        <v>184</v>
      </c>
      <c r="I56" s="542"/>
      <c r="J56" s="548"/>
      <c r="K56" s="544">
        <f>D56-A56</f>
        <v>25745</v>
      </c>
      <c r="L56" s="544">
        <f>E56-B56</f>
        <v>16726.196859999996</v>
      </c>
      <c r="M56" s="540">
        <f>F56-C56</f>
        <v>10209</v>
      </c>
      <c r="N56" s="365"/>
      <c r="O56" s="172"/>
      <c r="P56" s="172"/>
    </row>
    <row r="57" spans="1:14" ht="12.75">
      <c r="A57" s="372"/>
      <c r="B57" s="168"/>
      <c r="C57" s="167"/>
      <c r="D57" s="168"/>
      <c r="E57" s="168"/>
      <c r="F57" s="168"/>
      <c r="G57" s="149"/>
      <c r="H57" s="149"/>
      <c r="I57" s="149"/>
      <c r="J57" s="150"/>
      <c r="K57" s="168"/>
      <c r="L57" s="534"/>
      <c r="M57" s="535"/>
      <c r="N57" s="153"/>
    </row>
    <row r="58" spans="1:14" ht="12.75">
      <c r="A58" s="167"/>
      <c r="B58" s="167"/>
      <c r="C58" s="167"/>
      <c r="D58" s="168">
        <v>23</v>
      </c>
      <c r="E58" s="168">
        <v>24</v>
      </c>
      <c r="F58" s="168"/>
      <c r="G58" s="149"/>
      <c r="H58" s="154" t="s">
        <v>225</v>
      </c>
      <c r="I58" s="149"/>
      <c r="J58" s="150"/>
      <c r="K58" s="168">
        <f aca="true" t="shared" si="9" ref="K58:L60">D58-A58</f>
        <v>23</v>
      </c>
      <c r="L58" s="534">
        <f t="shared" si="9"/>
        <v>24</v>
      </c>
      <c r="M58" s="535">
        <f>F58-B58</f>
        <v>0</v>
      </c>
      <c r="N58" s="153"/>
    </row>
    <row r="59" spans="1:14" ht="12.75">
      <c r="A59" s="167">
        <v>8857</v>
      </c>
      <c r="B59" s="167">
        <v>5404</v>
      </c>
      <c r="C59" s="167">
        <f>1+3781</f>
        <v>3782</v>
      </c>
      <c r="D59" s="168">
        <v>103</v>
      </c>
      <c r="E59" s="168">
        <v>52</v>
      </c>
      <c r="F59" s="168">
        <v>52</v>
      </c>
      <c r="G59" s="149"/>
      <c r="H59" s="154" t="s">
        <v>185</v>
      </c>
      <c r="I59" s="149"/>
      <c r="J59" s="150"/>
      <c r="K59" s="168">
        <f t="shared" si="9"/>
        <v>-8754</v>
      </c>
      <c r="L59" s="534">
        <f t="shared" si="9"/>
        <v>-5352</v>
      </c>
      <c r="M59" s="535">
        <f>F59-C59</f>
        <v>-3730</v>
      </c>
      <c r="N59" s="153">
        <v>22</v>
      </c>
    </row>
    <row r="60" spans="1:14" ht="12.75">
      <c r="A60" s="372">
        <v>0</v>
      </c>
      <c r="B60" s="168"/>
      <c r="C60" s="167">
        <v>0</v>
      </c>
      <c r="D60" s="168">
        <v>8</v>
      </c>
      <c r="E60" s="168">
        <v>8</v>
      </c>
      <c r="F60" s="168">
        <v>8</v>
      </c>
      <c r="G60" s="149"/>
      <c r="H60" s="154" t="s">
        <v>186</v>
      </c>
      <c r="I60" s="149"/>
      <c r="J60" s="150"/>
      <c r="K60" s="168">
        <f t="shared" si="9"/>
        <v>8</v>
      </c>
      <c r="L60" s="534">
        <f t="shared" si="9"/>
        <v>8</v>
      </c>
      <c r="M60" s="535">
        <f>F60-C60</f>
        <v>8</v>
      </c>
      <c r="N60" s="153"/>
    </row>
    <row r="61" spans="1:14" ht="13.5" thickBot="1">
      <c r="A61" s="372"/>
      <c r="B61" s="168"/>
      <c r="C61" s="167"/>
      <c r="D61" s="168"/>
      <c r="E61" s="168"/>
      <c r="F61" s="168"/>
      <c r="G61" s="149"/>
      <c r="H61" s="149"/>
      <c r="I61" s="149"/>
      <c r="J61" s="150"/>
      <c r="K61" s="168"/>
      <c r="L61" s="534"/>
      <c r="M61" s="535"/>
      <c r="N61" s="153"/>
    </row>
    <row r="62" spans="1:16" ht="19.5" customHeight="1" thickBot="1">
      <c r="A62" s="549">
        <f aca="true" t="shared" si="10" ref="A62:F62">SUM(A56+A58+A59+A60)</f>
        <v>141184</v>
      </c>
      <c r="B62" s="549">
        <f t="shared" si="10"/>
        <v>66338</v>
      </c>
      <c r="C62" s="550">
        <f t="shared" si="10"/>
        <v>70235</v>
      </c>
      <c r="D62" s="550">
        <f t="shared" si="10"/>
        <v>158206</v>
      </c>
      <c r="E62" s="550">
        <f t="shared" si="10"/>
        <v>77744.19686</v>
      </c>
      <c r="F62" s="550">
        <f t="shared" si="10"/>
        <v>76722</v>
      </c>
      <c r="G62" s="551"/>
      <c r="H62" s="552" t="s">
        <v>112</v>
      </c>
      <c r="I62" s="552"/>
      <c r="J62" s="553"/>
      <c r="K62" s="550">
        <f>D62-A62</f>
        <v>17022</v>
      </c>
      <c r="L62" s="550">
        <f>E62-B62</f>
        <v>11406.196859999996</v>
      </c>
      <c r="M62" s="540">
        <f>F62-C62</f>
        <v>6487</v>
      </c>
      <c r="N62" s="370"/>
      <c r="O62" s="172"/>
      <c r="P62" s="172"/>
    </row>
    <row r="65" spans="13:21" s="177" customFormat="1" ht="12.75">
      <c r="M65" s="223"/>
      <c r="Q65" s="145"/>
      <c r="S65" s="145"/>
      <c r="T65" s="145"/>
      <c r="U65" s="145"/>
    </row>
    <row r="66" spans="4:21" s="177" customFormat="1" ht="12.75">
      <c r="D66" s="209"/>
      <c r="E66" s="209"/>
      <c r="Q66" s="145"/>
      <c r="S66" s="145"/>
      <c r="T66" s="145"/>
      <c r="U66" s="145"/>
    </row>
    <row r="67" spans="4:21" s="177" customFormat="1" ht="12.75">
      <c r="D67" s="209"/>
      <c r="E67" s="209"/>
      <c r="F67" s="177">
        <f>LEFT(D67,2)</f>
      </c>
      <c r="Q67" s="145"/>
      <c r="S67" s="145"/>
      <c r="T67" s="145"/>
      <c r="U67" s="145"/>
    </row>
    <row r="68" spans="17:21" s="177" customFormat="1" ht="12.75">
      <c r="Q68" s="145"/>
      <c r="S68" s="145"/>
      <c r="T68" s="145"/>
      <c r="U68" s="145"/>
    </row>
    <row r="69" spans="17:21" s="177" customFormat="1" ht="12.75">
      <c r="Q69" s="145"/>
      <c r="S69" s="145"/>
      <c r="T69" s="145"/>
      <c r="U69" s="145"/>
    </row>
    <row r="70" spans="17:21" s="177" customFormat="1" ht="12.75">
      <c r="Q70" s="145"/>
      <c r="S70" s="145"/>
      <c r="T70" s="145"/>
      <c r="U70" s="145"/>
    </row>
    <row r="71" spans="17:21" s="177" customFormat="1" ht="12.75">
      <c r="Q71" s="145"/>
      <c r="S71" s="145"/>
      <c r="T71" s="145"/>
      <c r="U71" s="145"/>
    </row>
    <row r="72" spans="17:21" s="177" customFormat="1" ht="12.75">
      <c r="Q72" s="145"/>
      <c r="S72" s="145"/>
      <c r="T72" s="145"/>
      <c r="U72" s="145"/>
    </row>
    <row r="73" spans="17:21" s="177" customFormat="1" ht="12.75">
      <c r="Q73" s="145"/>
      <c r="S73" s="145"/>
      <c r="T73" s="145"/>
      <c r="U73" s="145"/>
    </row>
    <row r="74" spans="17:21" s="177" customFormat="1" ht="12.75">
      <c r="Q74" s="145"/>
      <c r="S74" s="145"/>
      <c r="T74" s="145"/>
      <c r="U74" s="145"/>
    </row>
    <row r="75" spans="17:21" s="177" customFormat="1" ht="12.75">
      <c r="Q75" s="145"/>
      <c r="S75" s="145"/>
      <c r="T75" s="145"/>
      <c r="U75" s="145"/>
    </row>
    <row r="76" spans="17:21" s="177" customFormat="1" ht="12.75">
      <c r="Q76" s="145"/>
      <c r="S76" s="145"/>
      <c r="T76" s="145"/>
      <c r="U76" s="145"/>
    </row>
    <row r="77" spans="17:21" s="177" customFormat="1" ht="12.75">
      <c r="Q77" s="145"/>
      <c r="S77" s="145"/>
      <c r="T77" s="145"/>
      <c r="U77" s="145"/>
    </row>
    <row r="78" spans="17:21" s="177" customFormat="1" ht="12.75">
      <c r="Q78" s="145"/>
      <c r="S78" s="145"/>
      <c r="T78" s="145"/>
      <c r="U78" s="145"/>
    </row>
    <row r="79" spans="17:21" s="177" customFormat="1" ht="12.75">
      <c r="Q79" s="145"/>
      <c r="S79" s="145"/>
      <c r="T79" s="145"/>
      <c r="U79" s="145"/>
    </row>
    <row r="80" spans="17:21" s="177" customFormat="1" ht="12.75">
      <c r="Q80" s="145"/>
      <c r="S80" s="145"/>
      <c r="T80" s="145"/>
      <c r="U80" s="145"/>
    </row>
    <row r="81" spans="17:21" s="177" customFormat="1" ht="12.75">
      <c r="Q81" s="145"/>
      <c r="S81" s="145"/>
      <c r="T81" s="145"/>
      <c r="U81" s="145"/>
    </row>
    <row r="82" spans="17:21" s="177" customFormat="1" ht="12.75">
      <c r="Q82" s="145"/>
      <c r="S82" s="145"/>
      <c r="T82" s="145"/>
      <c r="U82" s="145"/>
    </row>
    <row r="83" spans="17:21" s="177" customFormat="1" ht="12.75">
      <c r="Q83" s="145"/>
      <c r="S83" s="145"/>
      <c r="T83" s="145"/>
      <c r="U83" s="145"/>
    </row>
    <row r="84" spans="17:21" s="177" customFormat="1" ht="12.75">
      <c r="Q84" s="145"/>
      <c r="S84" s="145"/>
      <c r="T84" s="145"/>
      <c r="U84" s="145"/>
    </row>
    <row r="85" spans="17:21" s="177" customFormat="1" ht="12.75">
      <c r="Q85" s="145"/>
      <c r="S85" s="145"/>
      <c r="T85" s="145"/>
      <c r="U85" s="145"/>
    </row>
    <row r="86" spans="17:21" s="177" customFormat="1" ht="12.75">
      <c r="Q86" s="145"/>
      <c r="S86" s="145"/>
      <c r="T86" s="145"/>
      <c r="U86" s="145"/>
    </row>
    <row r="87" spans="17:21" s="177" customFormat="1" ht="12.75">
      <c r="Q87" s="145"/>
      <c r="S87" s="145"/>
      <c r="T87" s="145"/>
      <c r="U87" s="145"/>
    </row>
    <row r="88" spans="17:21" s="177" customFormat="1" ht="12.75">
      <c r="Q88" s="145"/>
      <c r="S88" s="145"/>
      <c r="T88" s="145"/>
      <c r="U88" s="145"/>
    </row>
    <row r="89" spans="17:21" s="177" customFormat="1" ht="12.75">
      <c r="Q89" s="145"/>
      <c r="S89" s="145"/>
      <c r="T89" s="145"/>
      <c r="U89" s="145"/>
    </row>
    <row r="90" spans="17:21" s="177" customFormat="1" ht="12.75">
      <c r="Q90" s="145"/>
      <c r="S90" s="145"/>
      <c r="T90" s="145"/>
      <c r="U90" s="145"/>
    </row>
    <row r="91" spans="17:21" s="177" customFormat="1" ht="12.75">
      <c r="Q91" s="145"/>
      <c r="S91" s="145"/>
      <c r="T91" s="145"/>
      <c r="U91" s="145"/>
    </row>
    <row r="92" spans="17:21" s="177" customFormat="1" ht="12.75">
      <c r="Q92" s="145"/>
      <c r="S92" s="145"/>
      <c r="T92" s="145"/>
      <c r="U92" s="145"/>
    </row>
    <row r="93" spans="17:21" s="177" customFormat="1" ht="12.75">
      <c r="Q93" s="145"/>
      <c r="S93" s="145"/>
      <c r="T93" s="145"/>
      <c r="U93" s="145"/>
    </row>
    <row r="94" spans="17:21" s="177" customFormat="1" ht="12.75">
      <c r="Q94" s="145"/>
      <c r="S94" s="145"/>
      <c r="T94" s="145"/>
      <c r="U94" s="145"/>
    </row>
    <row r="95" spans="17:21" s="177" customFormat="1" ht="12.75">
      <c r="Q95" s="145"/>
      <c r="S95" s="145"/>
      <c r="T95" s="145"/>
      <c r="U95" s="145"/>
    </row>
    <row r="96" spans="17:21" s="177" customFormat="1" ht="12.75">
      <c r="Q96" s="145"/>
      <c r="S96" s="145"/>
      <c r="T96" s="145"/>
      <c r="U96" s="145"/>
    </row>
    <row r="97" spans="17:21" s="177" customFormat="1" ht="12.75">
      <c r="Q97" s="145"/>
      <c r="S97" s="145"/>
      <c r="T97" s="145"/>
      <c r="U97" s="145"/>
    </row>
    <row r="98" spans="17:21" s="177" customFormat="1" ht="12.75">
      <c r="Q98" s="145"/>
      <c r="S98" s="145"/>
      <c r="T98" s="145"/>
      <c r="U98" s="145"/>
    </row>
    <row r="99" spans="17:21" s="177" customFormat="1" ht="12.75">
      <c r="Q99" s="145"/>
      <c r="S99" s="145"/>
      <c r="T99" s="145"/>
      <c r="U99" s="145"/>
    </row>
    <row r="100" spans="17:21" s="177" customFormat="1" ht="12.75">
      <c r="Q100" s="145"/>
      <c r="S100" s="145"/>
      <c r="T100" s="145"/>
      <c r="U100" s="145"/>
    </row>
    <row r="101" spans="17:21" s="177" customFormat="1" ht="12.75">
      <c r="Q101" s="145"/>
      <c r="S101" s="145"/>
      <c r="T101" s="145"/>
      <c r="U101" s="145"/>
    </row>
    <row r="102" spans="17:21" s="177" customFormat="1" ht="12.75">
      <c r="Q102" s="145"/>
      <c r="S102" s="145"/>
      <c r="T102" s="145"/>
      <c r="U102" s="145"/>
    </row>
    <row r="103" spans="17:21" s="177" customFormat="1" ht="12.75">
      <c r="Q103" s="145"/>
      <c r="S103" s="145"/>
      <c r="T103" s="145"/>
      <c r="U103" s="145"/>
    </row>
    <row r="104" spans="17:21" s="177" customFormat="1" ht="12.75">
      <c r="Q104" s="145"/>
      <c r="S104" s="145"/>
      <c r="T104" s="145"/>
      <c r="U104" s="145"/>
    </row>
    <row r="105" spans="17:21" s="177" customFormat="1" ht="12.75">
      <c r="Q105" s="145"/>
      <c r="S105" s="145"/>
      <c r="T105" s="145"/>
      <c r="U105" s="145"/>
    </row>
    <row r="106" spans="17:21" s="177" customFormat="1" ht="12.75">
      <c r="Q106" s="145"/>
      <c r="S106" s="145"/>
      <c r="T106" s="145"/>
      <c r="U106" s="145"/>
    </row>
    <row r="107" spans="17:21" s="177" customFormat="1" ht="12.75">
      <c r="Q107" s="145"/>
      <c r="S107" s="145"/>
      <c r="T107" s="145"/>
      <c r="U107" s="145"/>
    </row>
    <row r="108" spans="17:21" s="177" customFormat="1" ht="12.75">
      <c r="Q108" s="145"/>
      <c r="S108" s="145"/>
      <c r="T108" s="145"/>
      <c r="U108" s="145"/>
    </row>
    <row r="109" spans="17:21" s="177" customFormat="1" ht="12.75">
      <c r="Q109" s="145"/>
      <c r="S109" s="145"/>
      <c r="T109" s="145"/>
      <c r="U109" s="145"/>
    </row>
    <row r="110" spans="17:21" s="177" customFormat="1" ht="12.75">
      <c r="Q110" s="145"/>
      <c r="S110" s="145"/>
      <c r="T110" s="145"/>
      <c r="U110" s="145"/>
    </row>
    <row r="111" spans="17:21" s="177" customFormat="1" ht="12.75">
      <c r="Q111" s="145"/>
      <c r="S111" s="145"/>
      <c r="T111" s="145"/>
      <c r="U111" s="145"/>
    </row>
    <row r="112" spans="17:21" s="177" customFormat="1" ht="12.75">
      <c r="Q112" s="145"/>
      <c r="S112" s="145"/>
      <c r="T112" s="145"/>
      <c r="U112" s="145"/>
    </row>
    <row r="113" spans="17:21" s="177" customFormat="1" ht="12.75">
      <c r="Q113" s="145"/>
      <c r="S113" s="145"/>
      <c r="T113" s="145"/>
      <c r="U113" s="145"/>
    </row>
    <row r="114" spans="17:21" s="177" customFormat="1" ht="12.75">
      <c r="Q114" s="145"/>
      <c r="S114" s="145"/>
      <c r="T114" s="145"/>
      <c r="U114" s="145"/>
    </row>
    <row r="115" spans="17:21" s="177" customFormat="1" ht="12.75">
      <c r="Q115" s="145"/>
      <c r="S115" s="145"/>
      <c r="T115" s="145"/>
      <c r="U115" s="145"/>
    </row>
    <row r="116" spans="17:21" s="177" customFormat="1" ht="12.75">
      <c r="Q116" s="145"/>
      <c r="S116" s="145"/>
      <c r="T116" s="145"/>
      <c r="U116" s="145"/>
    </row>
    <row r="117" spans="17:21" s="177" customFormat="1" ht="12.75">
      <c r="Q117" s="145"/>
      <c r="S117" s="145"/>
      <c r="T117" s="145"/>
      <c r="U117" s="145"/>
    </row>
    <row r="118" spans="17:21" s="177" customFormat="1" ht="12.75">
      <c r="Q118" s="145"/>
      <c r="S118" s="145"/>
      <c r="T118" s="145"/>
      <c r="U118" s="145"/>
    </row>
    <row r="119" spans="17:21" s="177" customFormat="1" ht="12.75">
      <c r="Q119" s="145"/>
      <c r="S119" s="145"/>
      <c r="T119" s="145"/>
      <c r="U119" s="145"/>
    </row>
    <row r="120" spans="17:21" s="177" customFormat="1" ht="12.75">
      <c r="Q120" s="145"/>
      <c r="S120" s="145"/>
      <c r="T120" s="145"/>
      <c r="U120" s="145"/>
    </row>
    <row r="121" spans="17:21" s="177" customFormat="1" ht="12.75">
      <c r="Q121" s="145"/>
      <c r="S121" s="145"/>
      <c r="T121" s="145"/>
      <c r="U121" s="145"/>
    </row>
    <row r="122" spans="17:21" s="177" customFormat="1" ht="12.75">
      <c r="Q122" s="145"/>
      <c r="S122" s="145"/>
      <c r="T122" s="145"/>
      <c r="U122" s="145"/>
    </row>
    <row r="123" spans="17:21" s="177" customFormat="1" ht="12.75">
      <c r="Q123" s="145"/>
      <c r="S123" s="145"/>
      <c r="T123" s="145"/>
      <c r="U123" s="145"/>
    </row>
    <row r="124" spans="17:21" s="177" customFormat="1" ht="12.75">
      <c r="Q124" s="145"/>
      <c r="S124" s="145"/>
      <c r="T124" s="145"/>
      <c r="U124" s="145"/>
    </row>
    <row r="125" spans="17:21" s="177" customFormat="1" ht="12.75">
      <c r="Q125" s="145"/>
      <c r="S125" s="145"/>
      <c r="T125" s="145"/>
      <c r="U125" s="145"/>
    </row>
    <row r="126" spans="17:21" s="177" customFormat="1" ht="12.75">
      <c r="Q126" s="145"/>
      <c r="S126" s="145"/>
      <c r="T126" s="145"/>
      <c r="U126" s="145"/>
    </row>
    <row r="127" spans="17:21" s="177" customFormat="1" ht="12.75">
      <c r="Q127" s="145"/>
      <c r="S127" s="145"/>
      <c r="T127" s="145"/>
      <c r="U127" s="145"/>
    </row>
    <row r="128" spans="17:21" s="177" customFormat="1" ht="12.75">
      <c r="Q128" s="145"/>
      <c r="S128" s="145"/>
      <c r="T128" s="145"/>
      <c r="U128" s="145"/>
    </row>
    <row r="129" spans="17:21" s="177" customFormat="1" ht="12.75">
      <c r="Q129" s="145"/>
      <c r="S129" s="145"/>
      <c r="T129" s="145"/>
      <c r="U129" s="145"/>
    </row>
    <row r="130" spans="17:21" s="177" customFormat="1" ht="12.75">
      <c r="Q130" s="145"/>
      <c r="S130" s="145"/>
      <c r="T130" s="145"/>
      <c r="U130" s="145"/>
    </row>
    <row r="131" spans="17:21" s="177" customFormat="1" ht="12.75">
      <c r="Q131" s="145"/>
      <c r="S131" s="145"/>
      <c r="T131" s="145"/>
      <c r="U131" s="145"/>
    </row>
    <row r="132" spans="17:21" s="177" customFormat="1" ht="12.75">
      <c r="Q132" s="145"/>
      <c r="S132" s="145"/>
      <c r="T132" s="145"/>
      <c r="U132" s="145"/>
    </row>
    <row r="133" spans="17:21" s="177" customFormat="1" ht="12.75">
      <c r="Q133" s="145"/>
      <c r="S133" s="145"/>
      <c r="T133" s="145"/>
      <c r="U133" s="145"/>
    </row>
    <row r="134" spans="17:21" s="177" customFormat="1" ht="12.75">
      <c r="Q134" s="145"/>
      <c r="S134" s="145"/>
      <c r="T134" s="145"/>
      <c r="U134" s="145"/>
    </row>
    <row r="135" spans="17:21" s="177" customFormat="1" ht="12.75">
      <c r="Q135" s="145"/>
      <c r="S135" s="145"/>
      <c r="T135" s="145"/>
      <c r="U135" s="145"/>
    </row>
    <row r="136" spans="17:21" s="177" customFormat="1" ht="12.75">
      <c r="Q136" s="145"/>
      <c r="S136" s="145"/>
      <c r="T136" s="145"/>
      <c r="U136" s="145"/>
    </row>
    <row r="137" spans="17:21" s="177" customFormat="1" ht="12.75">
      <c r="Q137" s="145"/>
      <c r="S137" s="145"/>
      <c r="T137" s="145"/>
      <c r="U137" s="145"/>
    </row>
    <row r="138" spans="17:21" s="177" customFormat="1" ht="12.75">
      <c r="Q138" s="145"/>
      <c r="S138" s="145"/>
      <c r="T138" s="145"/>
      <c r="U138" s="145"/>
    </row>
    <row r="139" spans="17:21" s="177" customFormat="1" ht="12.75">
      <c r="Q139" s="145"/>
      <c r="S139" s="145"/>
      <c r="T139" s="145"/>
      <c r="U139" s="145"/>
    </row>
  </sheetData>
  <mergeCells count="4">
    <mergeCell ref="A4:C5"/>
    <mergeCell ref="D4:F5"/>
    <mergeCell ref="K4:M5"/>
    <mergeCell ref="G4:J6"/>
  </mergeCells>
  <printOptions horizontalCentered="1" verticalCentered="1"/>
  <pageMargins left="0.1968503937007874" right="0" top="0.984251968503937" bottom="0.2362204724409449" header="0.4330708661417323" footer="0.2362204724409449"/>
  <pageSetup cellComments="asDisplayed" fitToHeight="1" fitToWidth="1" horizontalDpi="300" verticalDpi="300" orientation="portrait" paperSize="9" scale="73" r:id="rId3"/>
  <headerFooter alignWithMargins="0">
    <oddHeader>&amp;R&amp;"Arial,Gras"&amp;18
COMPTE DE RESULTAT &amp;B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61"/>
  <sheetViews>
    <sheetView view="pageBreakPreview" zoomScale="60" zoomScaleNormal="75" workbookViewId="0" topLeftCell="A1">
      <selection activeCell="A26" sqref="A26"/>
    </sheetView>
  </sheetViews>
  <sheetFormatPr defaultColWidth="11.421875" defaultRowHeight="12.75"/>
  <cols>
    <col min="1" max="1" width="4.28125" style="1" customWidth="1"/>
    <col min="2" max="2" width="11.421875" style="1" customWidth="1"/>
    <col min="3" max="3" width="12.7109375" style="1" customWidth="1"/>
    <col min="4" max="4" width="13.8515625" style="1" customWidth="1"/>
    <col min="5" max="5" width="14.8515625" style="1" customWidth="1"/>
    <col min="6" max="6" width="14.57421875" style="1" customWidth="1"/>
    <col min="7" max="7" width="13.7109375" style="1" customWidth="1"/>
    <col min="8" max="8" width="14.8515625" style="1" customWidth="1"/>
    <col min="9" max="9" width="14.57421875" style="1" customWidth="1"/>
    <col min="10" max="10" width="13.7109375" style="1" customWidth="1"/>
    <col min="11" max="16384" width="11.421875" style="1" customWidth="1"/>
  </cols>
  <sheetData>
    <row r="1" spans="1:10" ht="15.75">
      <c r="A1" s="2"/>
      <c r="B1" s="3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3"/>
      <c r="C2" s="2"/>
      <c r="D2" s="2"/>
      <c r="E2" s="2"/>
      <c r="F2" s="2"/>
      <c r="G2" s="2"/>
      <c r="H2" s="2"/>
      <c r="I2" s="2"/>
      <c r="J2" s="2"/>
    </row>
    <row r="3" spans="1:10" ht="15.75">
      <c r="A3" s="2"/>
      <c r="B3" s="3"/>
      <c r="C3" s="2"/>
      <c r="D3" s="2"/>
      <c r="E3" s="2"/>
      <c r="F3" s="2"/>
      <c r="G3" s="2"/>
      <c r="H3" s="2"/>
      <c r="I3" s="2"/>
      <c r="J3" s="2"/>
    </row>
    <row r="4" spans="1:10" ht="15.75">
      <c r="A4" s="2"/>
      <c r="B4" s="3"/>
      <c r="C4" s="2"/>
      <c r="D4" s="2"/>
      <c r="E4" s="2"/>
      <c r="F4" s="2"/>
      <c r="G4" s="2"/>
      <c r="H4" s="2"/>
      <c r="I4" s="2"/>
      <c r="J4" s="2"/>
    </row>
    <row r="5" spans="1:10" ht="15.75">
      <c r="A5" s="2"/>
      <c r="B5" s="3"/>
      <c r="C5" s="2"/>
      <c r="D5" s="2"/>
      <c r="E5" s="2"/>
      <c r="F5" s="2"/>
      <c r="G5" s="2"/>
      <c r="H5" s="2"/>
      <c r="I5" s="2"/>
      <c r="J5" s="2"/>
    </row>
    <row r="6" spans="1:10" ht="15.75">
      <c r="A6" s="2"/>
      <c r="B6" s="3"/>
      <c r="C6" s="2"/>
      <c r="D6" s="2"/>
      <c r="E6" s="2"/>
      <c r="F6" s="2"/>
      <c r="G6" s="2"/>
      <c r="H6" s="2"/>
      <c r="I6" s="2"/>
      <c r="J6" s="2"/>
    </row>
    <row r="7" spans="1:10" ht="15.75">
      <c r="A7" s="2"/>
      <c r="B7" s="3"/>
      <c r="C7" s="2"/>
      <c r="D7" s="2"/>
      <c r="E7" s="2"/>
      <c r="F7" s="2"/>
      <c r="G7" s="2"/>
      <c r="H7" s="2"/>
      <c r="I7" s="2"/>
      <c r="J7" s="2"/>
    </row>
    <row r="8" spans="1:10" ht="15.75">
      <c r="A8" s="2"/>
      <c r="B8" s="3"/>
      <c r="C8" s="2"/>
      <c r="D8" s="2"/>
      <c r="E8" s="2"/>
      <c r="F8" s="2"/>
      <c r="G8" s="2"/>
      <c r="H8" s="2"/>
      <c r="I8" s="2"/>
      <c r="J8" s="2"/>
    </row>
    <row r="9" spans="1:10" ht="15.75">
      <c r="A9" s="2"/>
      <c r="B9" s="3"/>
      <c r="C9" s="2"/>
      <c r="D9" s="2"/>
      <c r="E9" s="2"/>
      <c r="F9" s="2"/>
      <c r="G9" s="2"/>
      <c r="H9" s="2"/>
      <c r="I9" s="2"/>
      <c r="J9" s="2"/>
    </row>
    <row r="10" spans="1:10" ht="15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609" t="s">
        <v>230</v>
      </c>
      <c r="B11" s="609"/>
      <c r="C11" s="609"/>
      <c r="D11" s="609"/>
      <c r="E11" s="609"/>
      <c r="F11" s="609"/>
      <c r="G11" s="609"/>
      <c r="H11" s="609"/>
      <c r="I11" s="609"/>
      <c r="J11" s="609"/>
    </row>
    <row r="12" spans="1:10" ht="15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6.5" thickBo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9.5" thickBot="1">
      <c r="A14" s="610" t="s">
        <v>143</v>
      </c>
      <c r="B14" s="611"/>
      <c r="C14" s="611"/>
      <c r="D14" s="612"/>
      <c r="E14" s="606">
        <v>39447</v>
      </c>
      <c r="F14" s="607"/>
      <c r="G14" s="608"/>
      <c r="H14" s="606">
        <v>39629</v>
      </c>
      <c r="I14" s="607"/>
      <c r="J14" s="608"/>
    </row>
    <row r="15" spans="1:10" ht="16.5" thickBot="1">
      <c r="A15" s="613"/>
      <c r="B15" s="614"/>
      <c r="C15" s="614"/>
      <c r="D15" s="615"/>
      <c r="E15" s="382" t="s">
        <v>0</v>
      </c>
      <c r="F15" s="381" t="s">
        <v>135</v>
      </c>
      <c r="G15" s="383" t="s">
        <v>1</v>
      </c>
      <c r="H15" s="382" t="s">
        <v>0</v>
      </c>
      <c r="I15" s="381" t="s">
        <v>135</v>
      </c>
      <c r="J15" s="383" t="s">
        <v>1</v>
      </c>
    </row>
    <row r="16" spans="1:10" ht="15.75">
      <c r="A16" s="13"/>
      <c r="B16" s="18"/>
      <c r="C16" s="18"/>
      <c r="D16" s="19"/>
      <c r="E16" s="4"/>
      <c r="F16" s="5"/>
      <c r="G16" s="5"/>
      <c r="H16" s="4"/>
      <c r="I16" s="5"/>
      <c r="J16" s="5"/>
    </row>
    <row r="17" spans="1:10" ht="15.75">
      <c r="A17" s="6" t="s">
        <v>207</v>
      </c>
      <c r="B17" s="7"/>
      <c r="C17" s="7"/>
      <c r="D17" s="8"/>
      <c r="E17" s="227">
        <v>22857</v>
      </c>
      <c r="F17" s="227"/>
      <c r="G17" s="228">
        <f>SUM(E17-F17)</f>
        <v>22857</v>
      </c>
      <c r="H17" s="227">
        <v>31430</v>
      </c>
      <c r="I17" s="227"/>
      <c r="J17" s="228">
        <f>SUM(H17-I17)</f>
        <v>31430</v>
      </c>
    </row>
    <row r="18" spans="1:10" ht="15.75">
      <c r="A18" s="6"/>
      <c r="B18" s="234" t="s">
        <v>137</v>
      </c>
      <c r="C18" s="7"/>
      <c r="D18" s="8"/>
      <c r="E18" s="238">
        <v>69</v>
      </c>
      <c r="F18" s="236"/>
      <c r="G18" s="321">
        <f>SUM(E18-F18)</f>
        <v>69</v>
      </c>
      <c r="H18" s="238">
        <v>64</v>
      </c>
      <c r="I18" s="236"/>
      <c r="J18" s="321">
        <f>SUM(H18-I18)</f>
        <v>64</v>
      </c>
    </row>
    <row r="19" spans="1:10" ht="15.75">
      <c r="A19" s="6"/>
      <c r="B19" s="234"/>
      <c r="C19" s="7"/>
      <c r="D19" s="8"/>
      <c r="E19" s="238"/>
      <c r="F19" s="236"/>
      <c r="G19" s="237"/>
      <c r="H19" s="238"/>
      <c r="I19" s="236"/>
      <c r="J19" s="237"/>
    </row>
    <row r="20" spans="1:10" ht="15.75">
      <c r="A20" s="9" t="s">
        <v>2</v>
      </c>
      <c r="B20" s="10"/>
      <c r="C20" s="7"/>
      <c r="D20" s="8"/>
      <c r="E20" s="227"/>
      <c r="F20" s="227"/>
      <c r="G20" s="228">
        <f>SUM(E20-F20)</f>
        <v>0</v>
      </c>
      <c r="H20" s="227"/>
      <c r="I20" s="227"/>
      <c r="J20" s="228">
        <f>SUM(H20-I20)</f>
        <v>0</v>
      </c>
    </row>
    <row r="21" spans="1:10" ht="15.75">
      <c r="A21" s="6"/>
      <c r="B21" s="234" t="s">
        <v>137</v>
      </c>
      <c r="C21" s="7"/>
      <c r="D21" s="8"/>
      <c r="E21" s="238"/>
      <c r="F21" s="236"/>
      <c r="G21" s="237"/>
      <c r="H21" s="238"/>
      <c r="I21" s="236"/>
      <c r="J21" s="237"/>
    </row>
    <row r="22" spans="1:10" ht="15.75">
      <c r="A22" s="6"/>
      <c r="B22" s="234"/>
      <c r="C22" s="7"/>
      <c r="D22" s="8"/>
      <c r="E22" s="238"/>
      <c r="F22" s="236"/>
      <c r="G22" s="237"/>
      <c r="H22" s="238"/>
      <c r="I22" s="236"/>
      <c r="J22" s="237"/>
    </row>
    <row r="23" spans="1:10" ht="15.75">
      <c r="A23" s="11" t="s">
        <v>3</v>
      </c>
      <c r="B23" s="12"/>
      <c r="C23" s="7"/>
      <c r="D23" s="8"/>
      <c r="E23" s="227">
        <f aca="true" t="shared" si="0" ref="E23:J23">E26+E29+E32</f>
        <v>345952</v>
      </c>
      <c r="F23" s="227">
        <f t="shared" si="0"/>
        <v>122</v>
      </c>
      <c r="G23" s="228">
        <f t="shared" si="0"/>
        <v>345830</v>
      </c>
      <c r="H23" s="227">
        <f t="shared" si="0"/>
        <v>326466</v>
      </c>
      <c r="I23" s="227">
        <f t="shared" si="0"/>
        <v>113</v>
      </c>
      <c r="J23" s="228">
        <f t="shared" si="0"/>
        <v>326353</v>
      </c>
    </row>
    <row r="24" spans="1:10" ht="15.75">
      <c r="A24" s="6" t="s">
        <v>4</v>
      </c>
      <c r="B24" s="7"/>
      <c r="C24" s="7"/>
      <c r="D24" s="8"/>
      <c r="E24" s="229"/>
      <c r="F24" s="227"/>
      <c r="G24" s="228"/>
      <c r="H24" s="229"/>
      <c r="I24" s="227"/>
      <c r="J24" s="228"/>
    </row>
    <row r="25" spans="1:10" ht="15.75">
      <c r="A25" s="6"/>
      <c r="B25" s="7"/>
      <c r="C25" s="7"/>
      <c r="D25" s="8"/>
      <c r="E25" s="229"/>
      <c r="F25" s="227"/>
      <c r="G25" s="228"/>
      <c r="H25" s="229"/>
      <c r="I25" s="227"/>
      <c r="J25" s="228"/>
    </row>
    <row r="26" spans="1:11" ht="15.75">
      <c r="A26" s="13"/>
      <c r="B26" s="10" t="s">
        <v>5</v>
      </c>
      <c r="C26" s="2"/>
      <c r="D26" s="14"/>
      <c r="E26" s="228">
        <v>68071</v>
      </c>
      <c r="F26" s="227">
        <v>122</v>
      </c>
      <c r="G26" s="228">
        <f>SUM(E26-F26)</f>
        <v>67949</v>
      </c>
      <c r="H26" s="228">
        <f>2+35+2+8+78747+29+1+2+1+1+16000+793+113</f>
        <v>95734</v>
      </c>
      <c r="I26" s="227">
        <v>113</v>
      </c>
      <c r="J26" s="228">
        <f>SUM(H26-I26)</f>
        <v>95621</v>
      </c>
      <c r="K26" s="496"/>
    </row>
    <row r="27" spans="1:10" s="26" customFormat="1" ht="15.75">
      <c r="A27" s="6"/>
      <c r="B27" s="235" t="s">
        <v>187</v>
      </c>
      <c r="C27" s="3"/>
      <c r="D27" s="14"/>
      <c r="E27" s="487">
        <v>0</v>
      </c>
      <c r="F27" s="236"/>
      <c r="G27" s="487">
        <f>E27</f>
        <v>0</v>
      </c>
      <c r="H27" s="487">
        <v>0</v>
      </c>
      <c r="I27" s="236"/>
      <c r="J27" s="487">
        <f>H27</f>
        <v>0</v>
      </c>
    </row>
    <row r="28" spans="1:10" ht="15.75">
      <c r="A28" s="6"/>
      <c r="B28" s="234" t="s">
        <v>137</v>
      </c>
      <c r="C28" s="7"/>
      <c r="D28" s="8"/>
      <c r="E28" s="487">
        <v>0</v>
      </c>
      <c r="F28" s="236"/>
      <c r="G28" s="487">
        <v>0</v>
      </c>
      <c r="H28" s="236">
        <v>793</v>
      </c>
      <c r="I28" s="236"/>
      <c r="J28" s="237">
        <f>H28</f>
        <v>793</v>
      </c>
    </row>
    <row r="29" spans="1:11" ht="15.75">
      <c r="A29" s="13"/>
      <c r="B29" s="10" t="s">
        <v>138</v>
      </c>
      <c r="C29" s="10"/>
      <c r="D29" s="12"/>
      <c r="E29" s="228">
        <v>277881</v>
      </c>
      <c r="F29" s="227"/>
      <c r="G29" s="228">
        <f>SUM(E29-F29)</f>
        <v>277881</v>
      </c>
      <c r="H29" s="228">
        <f>224125+1527+5079+1</f>
        <v>230732</v>
      </c>
      <c r="I29" s="227"/>
      <c r="J29" s="228">
        <f>SUM(H29-I29)</f>
        <v>230732</v>
      </c>
      <c r="K29" s="496"/>
    </row>
    <row r="30" spans="1:10" ht="15.75">
      <c r="A30" s="13"/>
      <c r="B30" s="235" t="s">
        <v>187</v>
      </c>
      <c r="C30" s="10"/>
      <c r="D30" s="12"/>
      <c r="E30" s="487">
        <v>0</v>
      </c>
      <c r="F30" s="236"/>
      <c r="G30" s="487">
        <f>E30</f>
        <v>0</v>
      </c>
      <c r="H30" s="487">
        <v>0</v>
      </c>
      <c r="I30" s="236"/>
      <c r="J30" s="487">
        <f>H30</f>
        <v>0</v>
      </c>
    </row>
    <row r="31" spans="1:10" ht="15.75">
      <c r="A31" s="6"/>
      <c r="B31" s="234" t="s">
        <v>137</v>
      </c>
      <c r="C31" s="7"/>
      <c r="D31" s="8"/>
      <c r="E31" s="238">
        <v>4175</v>
      </c>
      <c r="F31" s="238"/>
      <c r="G31" s="321">
        <f>SUM(E31-F31)</f>
        <v>4175</v>
      </c>
      <c r="H31" s="238">
        <v>5079</v>
      </c>
      <c r="I31" s="238"/>
      <c r="J31" s="321">
        <f>SUM(H31-I31)</f>
        <v>5079</v>
      </c>
    </row>
    <row r="32" spans="1:10" ht="15.75">
      <c r="A32" s="13"/>
      <c r="B32" s="10" t="s">
        <v>6</v>
      </c>
      <c r="C32" s="10"/>
      <c r="D32" s="12"/>
      <c r="E32" s="227">
        <f>SUM(E34:E35)</f>
        <v>0</v>
      </c>
      <c r="F32" s="227"/>
      <c r="G32" s="228">
        <f>SUM(G34)</f>
        <v>0</v>
      </c>
      <c r="H32" s="227">
        <f>SUM(H34:H35)</f>
        <v>0</v>
      </c>
      <c r="I32" s="227"/>
      <c r="J32" s="228">
        <f>SUM(J34)</f>
        <v>0</v>
      </c>
    </row>
    <row r="33" spans="1:10" ht="15.75">
      <c r="A33" s="6"/>
      <c r="B33" s="234" t="s">
        <v>137</v>
      </c>
      <c r="C33" s="7"/>
      <c r="D33" s="8"/>
      <c r="E33" s="236"/>
      <c r="F33" s="236"/>
      <c r="G33" s="237"/>
      <c r="H33" s="236"/>
      <c r="I33" s="236"/>
      <c r="J33" s="237"/>
    </row>
    <row r="34" spans="1:10" ht="15.75">
      <c r="A34" s="13"/>
      <c r="B34" s="15" t="s">
        <v>7</v>
      </c>
      <c r="C34" s="16"/>
      <c r="D34" s="17"/>
      <c r="E34" s="227"/>
      <c r="F34" s="227"/>
      <c r="G34" s="228">
        <f>SUM(E34:F34)</f>
        <v>0</v>
      </c>
      <c r="H34" s="227"/>
      <c r="I34" s="227"/>
      <c r="J34" s="228">
        <f>SUM(H34:I34)</f>
        <v>0</v>
      </c>
    </row>
    <row r="35" spans="1:10" ht="15.75">
      <c r="A35" s="13"/>
      <c r="B35" s="15" t="s">
        <v>8</v>
      </c>
      <c r="C35" s="18"/>
      <c r="D35" s="19"/>
      <c r="E35" s="230">
        <v>0</v>
      </c>
      <c r="F35" s="230"/>
      <c r="G35" s="231"/>
      <c r="H35" s="230">
        <v>0</v>
      </c>
      <c r="I35" s="230"/>
      <c r="J35" s="231"/>
    </row>
    <row r="36" spans="1:10" ht="15.75">
      <c r="A36" s="6"/>
      <c r="B36" s="7"/>
      <c r="C36" s="7"/>
      <c r="D36" s="8"/>
      <c r="E36" s="227"/>
      <c r="F36" s="227"/>
      <c r="G36" s="228"/>
      <c r="H36" s="227"/>
      <c r="I36" s="227"/>
      <c r="J36" s="228"/>
    </row>
    <row r="37" spans="1:10" ht="15.75">
      <c r="A37" s="6"/>
      <c r="B37" s="7"/>
      <c r="C37" s="7"/>
      <c r="D37" s="8"/>
      <c r="E37" s="227"/>
      <c r="F37" s="227"/>
      <c r="G37" s="228"/>
      <c r="H37" s="227"/>
      <c r="I37" s="227"/>
      <c r="J37" s="228"/>
    </row>
    <row r="38" spans="1:10" ht="15.75">
      <c r="A38" s="9"/>
      <c r="B38" s="10"/>
      <c r="C38" s="7"/>
      <c r="D38" s="8"/>
      <c r="E38" s="227"/>
      <c r="F38" s="227"/>
      <c r="G38" s="228"/>
      <c r="H38" s="227"/>
      <c r="I38" s="227"/>
      <c r="J38" s="228"/>
    </row>
    <row r="39" spans="1:10" ht="15.75">
      <c r="A39" s="9"/>
      <c r="B39" s="10"/>
      <c r="C39" s="7"/>
      <c r="D39" s="8"/>
      <c r="E39" s="227"/>
      <c r="F39" s="227"/>
      <c r="G39" s="232"/>
      <c r="H39" s="227"/>
      <c r="I39" s="227"/>
      <c r="J39" s="232"/>
    </row>
    <row r="40" spans="1:10" ht="15.75">
      <c r="A40" s="6"/>
      <c r="B40" s="7"/>
      <c r="C40" s="7"/>
      <c r="D40" s="8"/>
      <c r="E40" s="229"/>
      <c r="F40" s="227"/>
      <c r="G40" s="228"/>
      <c r="H40" s="229"/>
      <c r="I40" s="227"/>
      <c r="J40" s="228"/>
    </row>
    <row r="41" spans="1:11" ht="15.75">
      <c r="A41" s="6" t="s">
        <v>15</v>
      </c>
      <c r="B41" s="7"/>
      <c r="C41" s="7"/>
      <c r="D41" s="8"/>
      <c r="E41" s="293">
        <f aca="true" t="shared" si="1" ref="E41:J41">(E17+E20+E23)</f>
        <v>368809</v>
      </c>
      <c r="F41" s="293">
        <f t="shared" si="1"/>
        <v>122</v>
      </c>
      <c r="G41" s="293">
        <f t="shared" si="1"/>
        <v>368687</v>
      </c>
      <c r="H41" s="293">
        <f t="shared" si="1"/>
        <v>357896</v>
      </c>
      <c r="I41" s="293">
        <f t="shared" si="1"/>
        <v>113</v>
      </c>
      <c r="J41" s="293">
        <f t="shared" si="1"/>
        <v>357783</v>
      </c>
      <c r="K41" s="496"/>
    </row>
    <row r="42" spans="1:11" ht="15.75">
      <c r="A42" s="6"/>
      <c r="B42" s="234" t="s">
        <v>137</v>
      </c>
      <c r="C42" s="7"/>
      <c r="D42" s="8"/>
      <c r="E42" s="488">
        <f>+E18+E21+E28+E31+E33</f>
        <v>4244</v>
      </c>
      <c r="F42" s="489"/>
      <c r="G42" s="488">
        <f>+G18+G21+G28+G31+G33</f>
        <v>4244</v>
      </c>
      <c r="H42" s="488">
        <f>+H18+H21+H28+H31+H33</f>
        <v>5936</v>
      </c>
      <c r="I42" s="489"/>
      <c r="J42" s="488">
        <f>+J18+J21+J28+J31+J33</f>
        <v>5936</v>
      </c>
      <c r="K42" s="496"/>
    </row>
    <row r="43" spans="1:10" ht="15.75">
      <c r="A43" s="20"/>
      <c r="B43" s="21"/>
      <c r="C43" s="21"/>
      <c r="D43" s="22"/>
      <c r="E43" s="23"/>
      <c r="F43" s="24"/>
      <c r="G43" s="24"/>
      <c r="H43" s="23"/>
      <c r="I43" s="24"/>
      <c r="J43" s="24"/>
    </row>
    <row r="44" spans="1:10" ht="15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1" ht="15.75">
      <c r="A45" s="25"/>
      <c r="B45" s="25"/>
      <c r="C45" s="3"/>
      <c r="D45" s="3"/>
      <c r="E45" s="3"/>
      <c r="F45" s="3"/>
      <c r="G45" s="3"/>
      <c r="H45" s="3"/>
      <c r="I45" s="3"/>
      <c r="J45" s="3"/>
      <c r="K45" s="26"/>
    </row>
    <row r="46" spans="1:11" ht="15.75">
      <c r="A46" s="25"/>
      <c r="B46" s="25"/>
      <c r="C46" s="3"/>
      <c r="D46" s="3"/>
      <c r="E46" s="3"/>
      <c r="F46" s="3"/>
      <c r="G46" s="3"/>
      <c r="H46" s="3"/>
      <c r="I46" s="3"/>
      <c r="J46" s="3"/>
      <c r="K46" s="26"/>
    </row>
    <row r="47" spans="1:11" ht="15.75">
      <c r="A47" s="25"/>
      <c r="B47" s="25"/>
      <c r="C47" s="3"/>
      <c r="D47" s="3"/>
      <c r="E47" s="3"/>
      <c r="F47" s="3"/>
      <c r="G47" s="3"/>
      <c r="H47" s="3"/>
      <c r="I47" s="3"/>
      <c r="J47" s="3"/>
      <c r="K47" s="26"/>
    </row>
    <row r="48" spans="1:11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26"/>
    </row>
    <row r="49" spans="1:11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26"/>
    </row>
    <row r="50" spans="1:11" ht="12.75">
      <c r="A50"/>
      <c r="B50"/>
      <c r="C50"/>
      <c r="D50"/>
      <c r="E50"/>
      <c r="F50"/>
      <c r="G50"/>
      <c r="H50"/>
      <c r="I50"/>
      <c r="J50"/>
      <c r="K50" s="26"/>
    </row>
    <row r="51" spans="1:11" ht="12.75">
      <c r="A51"/>
      <c r="B51"/>
      <c r="C51"/>
      <c r="D51"/>
      <c r="E51"/>
      <c r="F51"/>
      <c r="G51"/>
      <c r="H51"/>
      <c r="I51"/>
      <c r="J51"/>
      <c r="K51" s="26"/>
    </row>
    <row r="52" spans="1:11" ht="12.75">
      <c r="A52"/>
      <c r="B52"/>
      <c r="C52"/>
      <c r="D52"/>
      <c r="E52"/>
      <c r="F52"/>
      <c r="G52"/>
      <c r="H52"/>
      <c r="I52"/>
      <c r="J52"/>
      <c r="K52" s="26"/>
    </row>
    <row r="53" spans="1:11" ht="12.75">
      <c r="A53"/>
      <c r="B53"/>
      <c r="C53"/>
      <c r="D53"/>
      <c r="E53"/>
      <c r="F53"/>
      <c r="G53"/>
      <c r="H53"/>
      <c r="I53"/>
      <c r="J53"/>
      <c r="K53" s="26"/>
    </row>
    <row r="54" spans="1:11" ht="12.75">
      <c r="A54"/>
      <c r="B54"/>
      <c r="C54"/>
      <c r="D54"/>
      <c r="E54"/>
      <c r="F54"/>
      <c r="G54"/>
      <c r="H54"/>
      <c r="I54"/>
      <c r="J54"/>
      <c r="K54" s="26"/>
    </row>
    <row r="55" spans="1:11" ht="12" customHeight="1">
      <c r="A55"/>
      <c r="B55"/>
      <c r="C55"/>
      <c r="D55"/>
      <c r="E55"/>
      <c r="F55"/>
      <c r="G55"/>
      <c r="H55"/>
      <c r="I55"/>
      <c r="J55"/>
      <c r="K55" s="26"/>
    </row>
    <row r="56" spans="1:11" ht="12.75">
      <c r="A56"/>
      <c r="B56"/>
      <c r="C56"/>
      <c r="D56"/>
      <c r="E56"/>
      <c r="F56"/>
      <c r="G56"/>
      <c r="H56"/>
      <c r="I56"/>
      <c r="J56"/>
      <c r="K56" s="26"/>
    </row>
    <row r="57" spans="1:11" ht="12.75">
      <c r="A57"/>
      <c r="B57"/>
      <c r="C57"/>
      <c r="D57"/>
      <c r="E57"/>
      <c r="F57"/>
      <c r="G57"/>
      <c r="H57"/>
      <c r="I57"/>
      <c r="J57"/>
      <c r="K57" s="26"/>
    </row>
    <row r="58" spans="1:11" ht="12.75">
      <c r="A58"/>
      <c r="B58"/>
      <c r="C58"/>
      <c r="D58"/>
      <c r="E58"/>
      <c r="F58"/>
      <c r="G58"/>
      <c r="H58"/>
      <c r="I58"/>
      <c r="J58"/>
      <c r="K58" s="26"/>
    </row>
    <row r="59" spans="1:11" ht="12.75">
      <c r="A59"/>
      <c r="B59"/>
      <c r="C59"/>
      <c r="D59"/>
      <c r="E59"/>
      <c r="F59"/>
      <c r="G59"/>
      <c r="H59"/>
      <c r="I59"/>
      <c r="J59"/>
      <c r="K59" s="26"/>
    </row>
    <row r="60" spans="1:11" ht="12.75">
      <c r="A60"/>
      <c r="B60"/>
      <c r="C60"/>
      <c r="D60"/>
      <c r="E60"/>
      <c r="F60"/>
      <c r="G60"/>
      <c r="H60"/>
      <c r="I60"/>
      <c r="J60"/>
      <c r="K60" s="26"/>
    </row>
    <row r="61" spans="1:11" ht="12.75">
      <c r="A61"/>
      <c r="B61"/>
      <c r="C61"/>
      <c r="D61"/>
      <c r="E61"/>
      <c r="F61"/>
      <c r="G61"/>
      <c r="H61"/>
      <c r="I61"/>
      <c r="J61"/>
      <c r="K61" s="26"/>
    </row>
  </sheetData>
  <mergeCells count="4">
    <mergeCell ref="H14:J14"/>
    <mergeCell ref="A11:J11"/>
    <mergeCell ref="A14:D15"/>
    <mergeCell ref="E14:G14"/>
  </mergeCells>
  <printOptions horizontalCentered="1"/>
  <pageMargins left="0.3937007874015748" right="0.3937007874015748" top="0.7086614173228347" bottom="0.7086614173228347" header="0.4330708661417323" footer="0.5118110236220472"/>
  <pageSetup horizontalDpi="300" verticalDpi="300" orientation="portrait" paperSize="9" scale="70" r:id="rId5"/>
  <headerFooter alignWithMargins="0">
    <oddHeader>&amp;R&amp;"Arial,Gras"&amp;18NOTES ANNEXES AUX COMPTES SOCIAUX &amp;B</oddHeader>
  </headerFooter>
  <drawing r:id="rId3"/>
  <legacyDrawing r:id="rId2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2:M76"/>
  <sheetViews>
    <sheetView zoomScale="75" zoomScaleNormal="75" workbookViewId="0" topLeftCell="A1">
      <selection activeCell="A26" sqref="A26"/>
    </sheetView>
  </sheetViews>
  <sheetFormatPr defaultColWidth="11.421875" defaultRowHeight="12.75"/>
  <cols>
    <col min="1" max="1" width="4.28125" style="29" customWidth="1"/>
    <col min="2" max="2" width="11.421875" style="29" customWidth="1"/>
    <col min="3" max="3" width="4.7109375" style="29" customWidth="1"/>
    <col min="4" max="4" width="12.7109375" style="29" customWidth="1"/>
    <col min="5" max="5" width="13.421875" style="29" customWidth="1"/>
    <col min="6" max="6" width="14.140625" style="29" customWidth="1"/>
    <col min="7" max="7" width="13.7109375" style="29" bestFit="1" customWidth="1"/>
    <col min="8" max="8" width="12.8515625" style="29" bestFit="1" customWidth="1"/>
    <col min="9" max="10" width="13.7109375" style="29" bestFit="1" customWidth="1"/>
    <col min="11" max="11" width="12.8515625" style="29" bestFit="1" customWidth="1"/>
    <col min="12" max="12" width="4.00390625" style="29" customWidth="1"/>
    <col min="13" max="16384" width="11.421875" style="29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spans="1:11" ht="15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5.75">
      <c r="A13" s="616" t="s">
        <v>231</v>
      </c>
      <c r="B13" s="616"/>
      <c r="C13" s="616"/>
      <c r="D13" s="616"/>
      <c r="E13" s="616"/>
      <c r="F13" s="616"/>
      <c r="G13" s="616"/>
      <c r="H13" s="616"/>
      <c r="I13" s="616"/>
      <c r="J13" s="616"/>
      <c r="K13" s="616"/>
    </row>
    <row r="14" spans="1:11" s="297" customFormat="1" ht="15.75">
      <c r="A14" s="490"/>
      <c r="B14" s="490"/>
      <c r="C14" s="490"/>
      <c r="D14" s="490"/>
      <c r="E14" s="490"/>
      <c r="F14" s="490"/>
      <c r="G14" s="490"/>
      <c r="H14" s="490"/>
      <c r="I14" s="490"/>
      <c r="J14" s="490"/>
      <c r="K14" s="490"/>
    </row>
    <row r="15" spans="1:11" ht="16.5" thickBo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9.5" thickBot="1">
      <c r="A16" s="617" t="s">
        <v>143</v>
      </c>
      <c r="B16" s="618"/>
      <c r="C16" s="618"/>
      <c r="D16" s="618"/>
      <c r="E16" s="619"/>
      <c r="F16" s="624">
        <v>39447</v>
      </c>
      <c r="G16" s="625"/>
      <c r="H16" s="626"/>
      <c r="I16" s="624">
        <v>39629</v>
      </c>
      <c r="J16" s="625"/>
      <c r="K16" s="626"/>
    </row>
    <row r="17" spans="1:11" ht="16.5" thickBot="1">
      <c r="A17" s="620"/>
      <c r="B17" s="621"/>
      <c r="C17" s="621"/>
      <c r="D17" s="621"/>
      <c r="E17" s="622"/>
      <c r="F17" s="388" t="s">
        <v>0</v>
      </c>
      <c r="G17" s="387" t="s">
        <v>135</v>
      </c>
      <c r="H17" s="389" t="s">
        <v>1</v>
      </c>
      <c r="I17" s="388" t="s">
        <v>0</v>
      </c>
      <c r="J17" s="387" t="s">
        <v>135</v>
      </c>
      <c r="K17" s="389" t="s">
        <v>1</v>
      </c>
    </row>
    <row r="18" spans="1:11" ht="8.25" customHeight="1">
      <c r="A18" s="385"/>
      <c r="B18" s="384"/>
      <c r="C18" s="384"/>
      <c r="D18" s="384"/>
      <c r="E18" s="386"/>
      <c r="F18" s="30"/>
      <c r="G18" s="31"/>
      <c r="H18" s="31"/>
      <c r="I18" s="30"/>
      <c r="J18" s="31"/>
      <c r="K18" s="31"/>
    </row>
    <row r="19" spans="1:11" ht="9.75" customHeight="1">
      <c r="A19" s="37"/>
      <c r="B19" s="33"/>
      <c r="C19" s="33"/>
      <c r="D19" s="33"/>
      <c r="E19" s="34"/>
      <c r="F19" s="35"/>
      <c r="G19" s="36"/>
      <c r="H19" s="36"/>
      <c r="I19" s="35"/>
      <c r="J19" s="36"/>
      <c r="K19" s="36"/>
    </row>
    <row r="20" spans="1:11" ht="15.75">
      <c r="A20" s="32"/>
      <c r="B20" s="38" t="s">
        <v>216</v>
      </c>
      <c r="C20" s="27"/>
      <c r="D20" s="27"/>
      <c r="E20" s="34"/>
      <c r="F20" s="210">
        <f aca="true" t="shared" si="0" ref="F20:K20">+F22+F29+F36+F43</f>
        <v>1873294</v>
      </c>
      <c r="G20" s="210">
        <f t="shared" si="0"/>
        <v>0</v>
      </c>
      <c r="H20" s="210">
        <f t="shared" si="0"/>
        <v>1873294</v>
      </c>
      <c r="I20" s="210">
        <f t="shared" si="0"/>
        <v>1933814</v>
      </c>
      <c r="J20" s="210">
        <f t="shared" si="0"/>
        <v>0</v>
      </c>
      <c r="K20" s="210">
        <f t="shared" si="0"/>
        <v>1933814</v>
      </c>
    </row>
    <row r="21" spans="1:11" ht="15.75">
      <c r="A21" s="37"/>
      <c r="B21" s="33"/>
      <c r="C21" s="33"/>
      <c r="D21" s="33"/>
      <c r="E21" s="34"/>
      <c r="F21" s="35"/>
      <c r="G21" s="36"/>
      <c r="H21" s="36"/>
      <c r="I21" s="35"/>
      <c r="J21" s="36"/>
      <c r="K21" s="36"/>
    </row>
    <row r="22" spans="1:11" ht="15.75">
      <c r="A22" s="40"/>
      <c r="B22" s="211" t="s">
        <v>9</v>
      </c>
      <c r="C22" s="42"/>
      <c r="D22" s="42"/>
      <c r="E22" s="43"/>
      <c r="F22" s="241">
        <f aca="true" t="shared" si="1" ref="F22:K22">SUM(F24:F27)</f>
        <v>42678</v>
      </c>
      <c r="G22" s="241">
        <f t="shared" si="1"/>
        <v>0</v>
      </c>
      <c r="H22" s="241">
        <f t="shared" si="1"/>
        <v>42678</v>
      </c>
      <c r="I22" s="241">
        <f t="shared" si="1"/>
        <v>38633</v>
      </c>
      <c r="J22" s="241">
        <f t="shared" si="1"/>
        <v>0</v>
      </c>
      <c r="K22" s="241">
        <f t="shared" si="1"/>
        <v>38633</v>
      </c>
    </row>
    <row r="23" spans="1:11" ht="15.75">
      <c r="A23" s="40"/>
      <c r="B23" s="240" t="s">
        <v>139</v>
      </c>
      <c r="C23" s="42"/>
      <c r="D23" s="42"/>
      <c r="E23" s="43"/>
      <c r="F23" s="246"/>
      <c r="G23" s="247"/>
      <c r="H23" s="247"/>
      <c r="I23" s="246"/>
      <c r="J23" s="247"/>
      <c r="K23" s="247"/>
    </row>
    <row r="24" spans="1:11" ht="13.5" customHeight="1">
      <c r="A24" s="40"/>
      <c r="C24" s="54" t="s">
        <v>129</v>
      </c>
      <c r="D24" s="52"/>
      <c r="E24" s="43"/>
      <c r="F24" s="241">
        <v>42524</v>
      </c>
      <c r="G24" s="242"/>
      <c r="H24" s="242">
        <f>+F24+G24</f>
        <v>42524</v>
      </c>
      <c r="I24" s="241">
        <f>38416+1</f>
        <v>38417</v>
      </c>
      <c r="J24" s="242"/>
      <c r="K24" s="242">
        <f>+I24+J24</f>
        <v>38417</v>
      </c>
    </row>
    <row r="25" spans="1:11" ht="13.5" customHeight="1">
      <c r="A25" s="40"/>
      <c r="C25" s="54" t="s">
        <v>130</v>
      </c>
      <c r="D25" s="53"/>
      <c r="E25" s="43"/>
      <c r="F25" s="241">
        <v>151</v>
      </c>
      <c r="G25" s="242"/>
      <c r="H25" s="242">
        <f>+F25+G25</f>
        <v>151</v>
      </c>
      <c r="I25" s="241">
        <v>216</v>
      </c>
      <c r="J25" s="242"/>
      <c r="K25" s="242">
        <f>+I25+J25</f>
        <v>216</v>
      </c>
    </row>
    <row r="26" spans="1:11" ht="13.5" customHeight="1">
      <c r="A26" s="37"/>
      <c r="C26" s="54" t="s">
        <v>131</v>
      </c>
      <c r="D26" s="53"/>
      <c r="E26" s="44"/>
      <c r="F26" s="241">
        <v>3</v>
      </c>
      <c r="G26" s="242"/>
      <c r="H26" s="242">
        <f>+F26+G26</f>
        <v>3</v>
      </c>
      <c r="I26" s="241"/>
      <c r="J26" s="242"/>
      <c r="K26" s="242">
        <f>+I26+J26</f>
        <v>0</v>
      </c>
    </row>
    <row r="27" spans="1:11" ht="13.5" customHeight="1">
      <c r="A27" s="37"/>
      <c r="C27" s="54" t="s">
        <v>23</v>
      </c>
      <c r="D27" s="53"/>
      <c r="E27" s="44"/>
      <c r="F27" s="241">
        <v>0</v>
      </c>
      <c r="G27" s="242"/>
      <c r="H27" s="242">
        <f>+F27+G27</f>
        <v>0</v>
      </c>
      <c r="I27" s="241"/>
      <c r="J27" s="242"/>
      <c r="K27" s="242">
        <f>+I27+J27</f>
        <v>0</v>
      </c>
    </row>
    <row r="28" spans="1:11" ht="15.75">
      <c r="A28" s="37"/>
      <c r="C28" s="51"/>
      <c r="D28" s="212"/>
      <c r="E28" s="44"/>
      <c r="F28" s="241"/>
      <c r="G28" s="242"/>
      <c r="H28" s="242"/>
      <c r="I28" s="241"/>
      <c r="J28" s="242"/>
      <c r="K28" s="242"/>
    </row>
    <row r="29" spans="1:11" ht="15.75">
      <c r="A29" s="37"/>
      <c r="B29" s="211" t="s">
        <v>10</v>
      </c>
      <c r="C29" s="51"/>
      <c r="D29" s="212"/>
      <c r="E29" s="44"/>
      <c r="F29" s="241">
        <f aca="true" t="shared" si="2" ref="F29:K29">SUM(F31:F34)</f>
        <v>105633</v>
      </c>
      <c r="G29" s="241">
        <f t="shared" si="2"/>
        <v>0</v>
      </c>
      <c r="H29" s="241">
        <f t="shared" si="2"/>
        <v>105633</v>
      </c>
      <c r="I29" s="241">
        <f t="shared" si="2"/>
        <v>114518</v>
      </c>
      <c r="J29" s="241">
        <f t="shared" si="2"/>
        <v>0</v>
      </c>
      <c r="K29" s="241">
        <f t="shared" si="2"/>
        <v>114518</v>
      </c>
    </row>
    <row r="30" spans="1:11" ht="15.75">
      <c r="A30" s="37"/>
      <c r="B30" s="240" t="s">
        <v>139</v>
      </c>
      <c r="C30" s="51"/>
      <c r="D30" s="212"/>
      <c r="E30" s="44"/>
      <c r="F30" s="246"/>
      <c r="G30" s="247"/>
      <c r="H30" s="247"/>
      <c r="I30" s="246"/>
      <c r="J30" s="247"/>
      <c r="K30" s="247"/>
    </row>
    <row r="31" spans="1:11" ht="13.5" customHeight="1">
      <c r="A31" s="37"/>
      <c r="C31" s="54" t="s">
        <v>129</v>
      </c>
      <c r="D31" s="52"/>
      <c r="E31" s="43"/>
      <c r="F31" s="241">
        <v>85754</v>
      </c>
      <c r="G31" s="242"/>
      <c r="H31" s="242">
        <f>+F31+G31</f>
        <v>85754</v>
      </c>
      <c r="I31" s="241">
        <f>95079+33</f>
        <v>95112</v>
      </c>
      <c r="J31" s="242"/>
      <c r="K31" s="242">
        <f>+I31+J31</f>
        <v>95112</v>
      </c>
    </row>
    <row r="32" spans="1:11" ht="13.5" customHeight="1">
      <c r="A32" s="37"/>
      <c r="C32" s="54" t="s">
        <v>130</v>
      </c>
      <c r="D32" s="53"/>
      <c r="E32" s="43"/>
      <c r="F32" s="241">
        <v>3970</v>
      </c>
      <c r="G32" s="242"/>
      <c r="H32" s="242">
        <f>+F32+G32</f>
        <v>3970</v>
      </c>
      <c r="I32" s="241">
        <v>4728</v>
      </c>
      <c r="J32" s="242"/>
      <c r="K32" s="242">
        <f>+I32+J32</f>
        <v>4728</v>
      </c>
    </row>
    <row r="33" spans="1:11" ht="13.5" customHeight="1">
      <c r="A33" s="37"/>
      <c r="C33" s="54" t="s">
        <v>131</v>
      </c>
      <c r="D33" s="53"/>
      <c r="E33" s="44"/>
      <c r="F33" s="241">
        <v>14856</v>
      </c>
      <c r="G33" s="242"/>
      <c r="H33" s="242">
        <f>+F33+G33</f>
        <v>14856</v>
      </c>
      <c r="I33" s="241">
        <v>13813</v>
      </c>
      <c r="J33" s="242"/>
      <c r="K33" s="242">
        <f>+I33+J33</f>
        <v>13813</v>
      </c>
    </row>
    <row r="34" spans="1:11" ht="13.5" customHeight="1">
      <c r="A34" s="37"/>
      <c r="C34" s="54" t="s">
        <v>23</v>
      </c>
      <c r="D34" s="53"/>
      <c r="E34" s="44"/>
      <c r="F34" s="241">
        <v>1053</v>
      </c>
      <c r="G34" s="242"/>
      <c r="H34" s="242">
        <f>+F34+G34</f>
        <v>1053</v>
      </c>
      <c r="I34" s="241">
        <f>450+380+37-2</f>
        <v>865</v>
      </c>
      <c r="J34" s="242"/>
      <c r="K34" s="242">
        <f>+I34+J34</f>
        <v>865</v>
      </c>
    </row>
    <row r="35" spans="1:11" ht="15.75">
      <c r="A35" s="37"/>
      <c r="B35" s="41"/>
      <c r="C35" s="51"/>
      <c r="D35" s="212"/>
      <c r="E35" s="44"/>
      <c r="F35" s="241"/>
      <c r="G35" s="242"/>
      <c r="H35" s="242"/>
      <c r="I35" s="241"/>
      <c r="J35" s="242"/>
      <c r="K35" s="242"/>
    </row>
    <row r="36" spans="1:11" ht="15.75">
      <c r="A36" s="37"/>
      <c r="B36" s="211" t="s">
        <v>11</v>
      </c>
      <c r="C36" s="42"/>
      <c r="D36" s="42"/>
      <c r="E36" s="44"/>
      <c r="F36" s="241">
        <f>SUM(F38:F41)</f>
        <v>1724983</v>
      </c>
      <c r="G36" s="241">
        <f>SUM(G38:G41)</f>
        <v>0</v>
      </c>
      <c r="H36" s="242">
        <f>SUM(F36-G36)</f>
        <v>1724983</v>
      </c>
      <c r="I36" s="241">
        <f>SUM(I38:I41)</f>
        <v>1780663</v>
      </c>
      <c r="J36" s="241">
        <f>SUM(J38:J41)</f>
        <v>0</v>
      </c>
      <c r="K36" s="242">
        <f>SUM(I36-J36)</f>
        <v>1780663</v>
      </c>
    </row>
    <row r="37" spans="1:11" ht="15.75">
      <c r="A37" s="37"/>
      <c r="B37" s="240" t="s">
        <v>139</v>
      </c>
      <c r="C37" s="51"/>
      <c r="D37" s="212"/>
      <c r="E37" s="213"/>
      <c r="F37" s="246">
        <v>5084</v>
      </c>
      <c r="G37" s="247"/>
      <c r="H37" s="247">
        <f>SUM(F37-G37)</f>
        <v>5084</v>
      </c>
      <c r="I37" s="246">
        <v>5438</v>
      </c>
      <c r="J37" s="247"/>
      <c r="K37" s="247">
        <f>SUM(I37-J37)</f>
        <v>5438</v>
      </c>
    </row>
    <row r="38" spans="1:11" ht="13.5" customHeight="1">
      <c r="A38" s="37"/>
      <c r="B38" s="41"/>
      <c r="C38" s="54" t="s">
        <v>129</v>
      </c>
      <c r="D38" s="52"/>
      <c r="E38" s="213"/>
      <c r="F38" s="241">
        <v>692383</v>
      </c>
      <c r="G38" s="242"/>
      <c r="H38" s="242">
        <f>+F38+G38</f>
        <v>692383</v>
      </c>
      <c r="I38" s="241">
        <f>498+12297+1987-1+627877+78495+32+5+1586</f>
        <v>722776</v>
      </c>
      <c r="J38" s="242"/>
      <c r="K38" s="242">
        <f>+I38+J38</f>
        <v>722776</v>
      </c>
    </row>
    <row r="39" spans="1:11" ht="13.5" customHeight="1">
      <c r="A39" s="37"/>
      <c r="B39" s="41"/>
      <c r="C39" s="54" t="s">
        <v>130</v>
      </c>
      <c r="D39" s="53"/>
      <c r="E39" s="213"/>
      <c r="F39" s="241">
        <v>52180</v>
      </c>
      <c r="G39" s="242"/>
      <c r="H39" s="242">
        <f>+F39+G39</f>
        <v>52180</v>
      </c>
      <c r="I39" s="241">
        <f>333+49140+347</f>
        <v>49820</v>
      </c>
      <c r="J39" s="242"/>
      <c r="K39" s="242">
        <f>+I39+J39</f>
        <v>49820</v>
      </c>
    </row>
    <row r="40" spans="1:11" ht="13.5" customHeight="1">
      <c r="A40" s="37"/>
      <c r="B40" s="41"/>
      <c r="C40" s="54" t="s">
        <v>131</v>
      </c>
      <c r="D40" s="53"/>
      <c r="E40" s="213"/>
      <c r="F40" s="241">
        <v>940053</v>
      </c>
      <c r="G40" s="242"/>
      <c r="H40" s="242">
        <f>+F40+G40</f>
        <v>940053</v>
      </c>
      <c r="I40" s="241">
        <f>98642+850412+154+4058+284+2892+10050</f>
        <v>966492</v>
      </c>
      <c r="J40" s="242"/>
      <c r="K40" s="242">
        <f>+I40+J40</f>
        <v>966492</v>
      </c>
    </row>
    <row r="41" spans="1:11" ht="13.5" customHeight="1">
      <c r="A41" s="37"/>
      <c r="B41" s="41"/>
      <c r="C41" s="54" t="s">
        <v>23</v>
      </c>
      <c r="D41" s="53"/>
      <c r="E41" s="213"/>
      <c r="F41" s="241">
        <v>40367</v>
      </c>
      <c r="G41" s="242"/>
      <c r="H41" s="242">
        <f>+F41+G41</f>
        <v>40367</v>
      </c>
      <c r="I41" s="241">
        <f>260+38002+2531+111+671</f>
        <v>41575</v>
      </c>
      <c r="J41" s="242"/>
      <c r="K41" s="242">
        <f>+I41+J41</f>
        <v>41575</v>
      </c>
    </row>
    <row r="42" spans="1:11" ht="13.5" customHeight="1">
      <c r="A42" s="37"/>
      <c r="B42" s="41"/>
      <c r="C42" s="54"/>
      <c r="D42" s="53"/>
      <c r="E42" s="213"/>
      <c r="F42" s="241"/>
      <c r="G42" s="242"/>
      <c r="H42" s="242"/>
      <c r="I42" s="241"/>
      <c r="J42" s="242"/>
      <c r="K42" s="242"/>
    </row>
    <row r="43" spans="1:11" ht="13.5" customHeight="1">
      <c r="A43" s="37"/>
      <c r="B43" s="239" t="s">
        <v>140</v>
      </c>
      <c r="C43" s="54"/>
      <c r="D43" s="53"/>
      <c r="E43" s="213"/>
      <c r="F43" s="241"/>
      <c r="G43" s="242"/>
      <c r="H43" s="242"/>
      <c r="I43" s="241"/>
      <c r="J43" s="242"/>
      <c r="K43" s="242"/>
    </row>
    <row r="44" spans="1:11" ht="13.5" customHeight="1">
      <c r="A44" s="37"/>
      <c r="B44" s="240" t="s">
        <v>139</v>
      </c>
      <c r="C44" s="51"/>
      <c r="D44" s="212"/>
      <c r="E44" s="213"/>
      <c r="F44" s="246"/>
      <c r="G44" s="247"/>
      <c r="H44" s="247"/>
      <c r="I44" s="246"/>
      <c r="J44" s="247"/>
      <c r="K44" s="247"/>
    </row>
    <row r="45" spans="1:11" ht="13.5" customHeight="1">
      <c r="A45" s="37"/>
      <c r="B45" s="41"/>
      <c r="C45" s="54"/>
      <c r="D45" s="53"/>
      <c r="E45" s="213"/>
      <c r="F45" s="243"/>
      <c r="G45" s="244"/>
      <c r="H45" s="244"/>
      <c r="I45" s="243"/>
      <c r="J45" s="244"/>
      <c r="K45" s="244"/>
    </row>
    <row r="46" spans="1:11" ht="13.5" customHeight="1">
      <c r="A46" s="37"/>
      <c r="B46" s="211" t="s">
        <v>215</v>
      </c>
      <c r="C46" s="42"/>
      <c r="D46" s="42"/>
      <c r="E46" s="213"/>
      <c r="F46" s="331">
        <f aca="true" t="shared" si="3" ref="F46:K46">F48+F50</f>
        <v>48275</v>
      </c>
      <c r="G46" s="331">
        <f t="shared" si="3"/>
        <v>39154</v>
      </c>
      <c r="H46" s="331">
        <f t="shared" si="3"/>
        <v>9121</v>
      </c>
      <c r="I46" s="331">
        <f t="shared" si="3"/>
        <v>48107</v>
      </c>
      <c r="J46" s="331">
        <f t="shared" si="3"/>
        <v>39063</v>
      </c>
      <c r="K46" s="331">
        <f t="shared" si="3"/>
        <v>9044</v>
      </c>
    </row>
    <row r="47" spans="1:11" ht="13.5" customHeight="1">
      <c r="A47" s="37"/>
      <c r="B47" s="211"/>
      <c r="C47" s="42"/>
      <c r="D47" s="42"/>
      <c r="E47" s="213"/>
      <c r="F47" s="241"/>
      <c r="G47" s="242"/>
      <c r="H47" s="242"/>
      <c r="I47" s="241"/>
      <c r="J47" s="242"/>
      <c r="K47" s="242"/>
    </row>
    <row r="48" spans="1:12" ht="13.5" customHeight="1">
      <c r="A48" s="37"/>
      <c r="B48" s="41"/>
      <c r="C48" s="54" t="s">
        <v>141</v>
      </c>
      <c r="D48" s="52"/>
      <c r="E48" s="213"/>
      <c r="F48" s="241">
        <v>11162</v>
      </c>
      <c r="G48" s="242">
        <v>6869</v>
      </c>
      <c r="H48" s="242">
        <f>SUM(F48-G48)</f>
        <v>4293</v>
      </c>
      <c r="I48" s="241">
        <f>48107-I50</f>
        <v>10035</v>
      </c>
      <c r="J48" s="242">
        <v>6727</v>
      </c>
      <c r="K48" s="242">
        <f>SUM(I48-J48)</f>
        <v>3308</v>
      </c>
      <c r="L48" s="55"/>
    </row>
    <row r="49" spans="1:13" ht="13.5" customHeight="1">
      <c r="A49" s="37"/>
      <c r="B49" s="41"/>
      <c r="C49" s="248" t="s">
        <v>139</v>
      </c>
      <c r="D49" s="53"/>
      <c r="E49" s="213"/>
      <c r="F49" s="246">
        <f>+H49+G49</f>
        <v>0</v>
      </c>
      <c r="G49" s="247">
        <v>0</v>
      </c>
      <c r="H49" s="247">
        <v>0</v>
      </c>
      <c r="I49" s="246">
        <f>+K49+J49</f>
        <v>0</v>
      </c>
      <c r="J49" s="247">
        <v>0</v>
      </c>
      <c r="K49" s="247">
        <v>0</v>
      </c>
      <c r="M49" s="220"/>
    </row>
    <row r="50" spans="1:11" ht="13.5" customHeight="1">
      <c r="A50" s="37"/>
      <c r="B50" s="41"/>
      <c r="C50" s="54" t="s">
        <v>142</v>
      </c>
      <c r="D50" s="53"/>
      <c r="E50" s="213"/>
      <c r="F50" s="241">
        <v>37113</v>
      </c>
      <c r="G50" s="242">
        <v>32285</v>
      </c>
      <c r="H50" s="242">
        <f>SUM(F50-G50)</f>
        <v>4828</v>
      </c>
      <c r="I50" s="241">
        <f>31836+6236</f>
        <v>38072</v>
      </c>
      <c r="J50" s="242">
        <v>32336</v>
      </c>
      <c r="K50" s="242">
        <f>SUM(I50-J50)</f>
        <v>5736</v>
      </c>
    </row>
    <row r="51" spans="1:11" ht="13.5" customHeight="1">
      <c r="A51" s="37"/>
      <c r="B51" s="41"/>
      <c r="C51" s="248" t="s">
        <v>139</v>
      </c>
      <c r="D51" s="249"/>
      <c r="E51" s="34"/>
      <c r="F51" s="246">
        <v>0</v>
      </c>
      <c r="G51" s="247"/>
      <c r="H51" s="247">
        <f>+F51+G51</f>
        <v>0</v>
      </c>
      <c r="I51" s="246">
        <v>0</v>
      </c>
      <c r="J51" s="247"/>
      <c r="K51" s="247">
        <f>+I51+J51</f>
        <v>0</v>
      </c>
    </row>
    <row r="52" spans="1:11" ht="13.5" customHeight="1">
      <c r="A52" s="37"/>
      <c r="B52" s="41"/>
      <c r="C52" s="54"/>
      <c r="D52" s="53"/>
      <c r="E52" s="34"/>
      <c r="F52" s="241"/>
      <c r="G52" s="245"/>
      <c r="H52" s="245"/>
      <c r="I52" s="241"/>
      <c r="J52" s="245"/>
      <c r="K52" s="245"/>
    </row>
    <row r="53" spans="1:11" ht="13.5" customHeight="1">
      <c r="A53" s="37"/>
      <c r="B53" s="41"/>
      <c r="C53" s="54"/>
      <c r="D53" s="53"/>
      <c r="E53" s="34"/>
      <c r="F53" s="35"/>
      <c r="G53" s="36"/>
      <c r="H53" s="36"/>
      <c r="I53" s="35"/>
      <c r="J53" s="36"/>
      <c r="K53" s="36"/>
    </row>
    <row r="54" spans="1:11" s="297" customFormat="1" ht="15.75">
      <c r="A54" s="299" t="s">
        <v>15</v>
      </c>
      <c r="B54" s="295"/>
      <c r="C54" s="295"/>
      <c r="D54" s="295"/>
      <c r="E54" s="296"/>
      <c r="F54" s="298">
        <f aca="true" t="shared" si="4" ref="F54:K54">F46+F20</f>
        <v>1921569</v>
      </c>
      <c r="G54" s="298">
        <f t="shared" si="4"/>
        <v>39154</v>
      </c>
      <c r="H54" s="298">
        <f t="shared" si="4"/>
        <v>1882415</v>
      </c>
      <c r="I54" s="298">
        <f t="shared" si="4"/>
        <v>1981921</v>
      </c>
      <c r="J54" s="298">
        <f t="shared" si="4"/>
        <v>39063</v>
      </c>
      <c r="K54" s="298">
        <f t="shared" si="4"/>
        <v>1942858</v>
      </c>
    </row>
    <row r="55" spans="1:11" ht="15.75">
      <c r="A55" s="46"/>
      <c r="B55" s="320" t="s">
        <v>139</v>
      </c>
      <c r="C55" s="47"/>
      <c r="D55" s="47"/>
      <c r="E55" s="48"/>
      <c r="F55" s="491">
        <f aca="true" t="shared" si="5" ref="F55:K55">F23+F30+F37+F44+F49+F51</f>
        <v>5084</v>
      </c>
      <c r="G55" s="491">
        <f t="shared" si="5"/>
        <v>0</v>
      </c>
      <c r="H55" s="491">
        <f t="shared" si="5"/>
        <v>5084</v>
      </c>
      <c r="I55" s="491">
        <f t="shared" si="5"/>
        <v>5438</v>
      </c>
      <c r="J55" s="491">
        <f t="shared" si="5"/>
        <v>0</v>
      </c>
      <c r="K55" s="491">
        <f t="shared" si="5"/>
        <v>5438</v>
      </c>
    </row>
    <row r="56" spans="1:11" ht="9.75" customHeight="1">
      <c r="A56" s="27"/>
      <c r="B56" s="27"/>
      <c r="C56" s="27"/>
      <c r="D56" s="27"/>
      <c r="E56" s="27"/>
      <c r="F56" s="45"/>
      <c r="G56" s="45"/>
      <c r="H56" s="45"/>
      <c r="I56" s="45"/>
      <c r="J56" s="45"/>
      <c r="K56" s="45"/>
    </row>
    <row r="57" spans="1:11" ht="15.75">
      <c r="A57" s="390" t="s">
        <v>229</v>
      </c>
      <c r="B57" s="392"/>
      <c r="C57" s="392"/>
      <c r="D57" s="392"/>
      <c r="E57" s="392"/>
      <c r="F57" s="391"/>
      <c r="G57" s="391"/>
      <c r="H57" s="391"/>
      <c r="I57" s="391"/>
      <c r="J57" s="39"/>
      <c r="K57" s="39"/>
    </row>
    <row r="58" spans="1:11" ht="15.75">
      <c r="A58" s="28"/>
      <c r="B58" s="28"/>
      <c r="C58" s="28"/>
      <c r="D58" s="28"/>
      <c r="E58" s="28"/>
      <c r="F58" s="39"/>
      <c r="G58" s="39"/>
      <c r="H58" s="39"/>
      <c r="I58" s="39"/>
      <c r="J58" s="39"/>
      <c r="K58" s="39"/>
    </row>
    <row r="59" spans="1:11" ht="15.75">
      <c r="A59" s="49"/>
      <c r="B59" s="28"/>
      <c r="C59" s="28"/>
      <c r="D59" s="28"/>
      <c r="E59" s="28"/>
      <c r="F59" s="39"/>
      <c r="G59" s="39"/>
      <c r="H59" s="39"/>
      <c r="I59" s="39"/>
      <c r="J59" s="39"/>
      <c r="K59" s="39"/>
    </row>
    <row r="60" spans="1:11" ht="15.75">
      <c r="A60" s="49"/>
      <c r="B60" s="49"/>
      <c r="C60" s="28"/>
      <c r="D60" s="28"/>
      <c r="E60" s="28"/>
      <c r="F60" s="39"/>
      <c r="G60" s="39"/>
      <c r="H60" s="39"/>
      <c r="I60" s="39"/>
      <c r="J60" s="39"/>
      <c r="K60" s="39"/>
    </row>
    <row r="61" spans="1:11" ht="15.75">
      <c r="A61" s="28"/>
      <c r="B61" s="28"/>
      <c r="C61" s="28"/>
      <c r="D61" s="28"/>
      <c r="E61" s="28"/>
      <c r="F61" s="39"/>
      <c r="G61" s="39"/>
      <c r="H61" s="215"/>
      <c r="I61" s="39"/>
      <c r="J61" s="39"/>
      <c r="K61" s="215"/>
    </row>
    <row r="62" spans="1:11" ht="10.5" customHeight="1">
      <c r="A62" s="28"/>
      <c r="B62" s="28"/>
      <c r="C62" s="28"/>
      <c r="D62" s="28"/>
      <c r="E62" s="28"/>
      <c r="F62" s="39"/>
      <c r="G62" s="39"/>
      <c r="H62" s="39"/>
      <c r="I62" s="39"/>
      <c r="J62" s="39"/>
      <c r="K62" s="39"/>
    </row>
    <row r="63" spans="1:11" ht="15.75">
      <c r="A63" s="49"/>
      <c r="B63" s="49"/>
      <c r="C63" s="28"/>
      <c r="D63" s="28"/>
      <c r="E63" s="28"/>
      <c r="F63" s="39"/>
      <c r="G63" s="39"/>
      <c r="H63" s="217"/>
      <c r="I63" s="39"/>
      <c r="J63" s="39"/>
      <c r="K63" s="217"/>
    </row>
    <row r="64" spans="1:11" ht="15.75">
      <c r="A64" s="28"/>
      <c r="B64" s="28"/>
      <c r="C64" s="28"/>
      <c r="D64" s="28"/>
      <c r="E64" s="28"/>
      <c r="F64" s="39"/>
      <c r="G64" s="39"/>
      <c r="H64" s="39"/>
      <c r="I64" s="39"/>
      <c r="J64" s="39"/>
      <c r="K64" s="39"/>
    </row>
    <row r="65" spans="1:11" ht="15.75">
      <c r="A65" s="49"/>
      <c r="B65" s="49"/>
      <c r="C65" s="28"/>
      <c r="D65" s="28"/>
      <c r="E65" s="28"/>
      <c r="F65" s="39"/>
      <c r="G65" s="39"/>
      <c r="H65" s="217"/>
      <c r="I65" s="39"/>
      <c r="J65" s="39"/>
      <c r="K65" s="217"/>
    </row>
    <row r="66" spans="1:11" ht="15.75">
      <c r="A66" s="28"/>
      <c r="B66" s="28"/>
      <c r="C66" s="28"/>
      <c r="D66" s="28"/>
      <c r="E66" s="28"/>
      <c r="F66" s="39"/>
      <c r="G66" s="39"/>
      <c r="H66" s="50"/>
      <c r="I66" s="39"/>
      <c r="J66" s="39"/>
      <c r="K66" s="50"/>
    </row>
    <row r="67" spans="1:12" ht="15.75">
      <c r="A67" s="49"/>
      <c r="B67" s="28"/>
      <c r="C67" s="28"/>
      <c r="D67" s="28"/>
      <c r="E67" s="28"/>
      <c r="F67" s="39"/>
      <c r="G67" s="39"/>
      <c r="H67" s="50"/>
      <c r="I67" s="39"/>
      <c r="J67" s="39"/>
      <c r="K67" s="50"/>
      <c r="L67" s="224"/>
    </row>
    <row r="68" spans="1:11" ht="15.75">
      <c r="A68" s="28"/>
      <c r="B68" s="28"/>
      <c r="C68" s="28"/>
      <c r="D68" s="28"/>
      <c r="E68" s="28"/>
      <c r="F68" s="39"/>
      <c r="G68" s="39"/>
      <c r="H68" s="50"/>
      <c r="I68" s="39"/>
      <c r="J68" s="39"/>
      <c r="K68" s="50"/>
    </row>
    <row r="69" spans="1:11" ht="30.75" customHeight="1">
      <c r="A69" s="623"/>
      <c r="B69" s="623"/>
      <c r="C69" s="623"/>
      <c r="D69" s="623"/>
      <c r="E69" s="623"/>
      <c r="F69" s="39"/>
      <c r="G69" s="39"/>
      <c r="H69" s="50"/>
      <c r="I69" s="39"/>
      <c r="J69" s="39"/>
      <c r="K69" s="50"/>
    </row>
    <row r="70" spans="1:11" ht="15.75">
      <c r="A70" s="28"/>
      <c r="B70" s="28"/>
      <c r="C70" s="28"/>
      <c r="D70" s="28"/>
      <c r="E70" s="28"/>
      <c r="F70" s="39"/>
      <c r="G70" s="39"/>
      <c r="H70" s="39"/>
      <c r="I70" s="39"/>
      <c r="J70" s="39"/>
      <c r="K70" s="39"/>
    </row>
    <row r="71" spans="1:11" ht="15.75">
      <c r="A71" s="218"/>
      <c r="B71" s="28"/>
      <c r="C71" s="28"/>
      <c r="D71" s="28"/>
      <c r="E71" s="28"/>
      <c r="F71" s="39"/>
      <c r="G71" s="39"/>
      <c r="H71" s="39"/>
      <c r="I71" s="39"/>
      <c r="J71" s="39"/>
      <c r="K71" s="39"/>
    </row>
    <row r="72" spans="1:11" ht="15.75">
      <c r="A72" s="28"/>
      <c r="B72" s="28"/>
      <c r="C72" s="28"/>
      <c r="D72" s="28"/>
      <c r="E72" s="28"/>
      <c r="F72" s="39"/>
      <c r="G72" s="39"/>
      <c r="H72" s="39"/>
      <c r="I72" s="39"/>
      <c r="J72" s="39"/>
      <c r="K72" s="39"/>
    </row>
    <row r="73" ht="12.75" hidden="1"/>
    <row r="74" spans="8:11" ht="15.75" hidden="1">
      <c r="H74" s="215">
        <v>2004</v>
      </c>
      <c r="K74" s="215">
        <v>2005</v>
      </c>
    </row>
    <row r="75" ht="12.75" hidden="1"/>
    <row r="76" spans="1:11" ht="15.75" hidden="1">
      <c r="A76" s="28" t="s">
        <v>132</v>
      </c>
      <c r="H76" s="214">
        <f>13.05*0.00838</f>
        <v>0.10935900000000001</v>
      </c>
      <c r="K76" s="221" t="s">
        <v>133</v>
      </c>
    </row>
    <row r="77" ht="12.75" hidden="1"/>
    <row r="78" ht="12.75"/>
    <row r="79" ht="12.75"/>
    <row r="80" ht="12.75"/>
  </sheetData>
  <mergeCells count="5">
    <mergeCell ref="A13:K13"/>
    <mergeCell ref="A16:E17"/>
    <mergeCell ref="A69:E69"/>
    <mergeCell ref="I16:K16"/>
    <mergeCell ref="F16:H16"/>
  </mergeCells>
  <printOptions horizontalCentered="1"/>
  <pageMargins left="0.1968503937007874" right="0.1968503937007874" top="0.2362204724409449" bottom="0.2362204724409449" header="0.4330708661417323" footer="0.15748031496062992"/>
  <pageSetup horizontalDpi="300" verticalDpi="300" orientation="portrait" paperSize="9" scale="65" r:id="rId5"/>
  <headerFooter alignWithMargins="0">
    <oddHeader>&amp;R&amp;"Arial,Gras"&amp;18NOTES ANNEXES AUX COMPTES SOCIAUX &amp;B</oddHeader>
  </headerFooter>
  <drawing r:id="rId3"/>
  <legacyDrawing r:id="rId2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0:J51"/>
  <sheetViews>
    <sheetView zoomScale="75" zoomScaleNormal="75" zoomScaleSheetLayoutView="75" workbookViewId="0" topLeftCell="A10">
      <selection activeCell="A26" sqref="A26"/>
    </sheetView>
  </sheetViews>
  <sheetFormatPr defaultColWidth="11.421875" defaultRowHeight="12.75"/>
  <cols>
    <col min="1" max="1" width="4.28125" style="56" customWidth="1"/>
    <col min="2" max="2" width="11.421875" style="56" customWidth="1"/>
    <col min="3" max="3" width="12.7109375" style="56" customWidth="1"/>
    <col min="4" max="4" width="22.00390625" style="56" customWidth="1"/>
    <col min="5" max="5" width="16.7109375" style="56" customWidth="1"/>
    <col min="6" max="7" width="17.7109375" style="56" customWidth="1"/>
    <col min="8" max="8" width="16.7109375" style="56" customWidth="1"/>
    <col min="9" max="9" width="16.00390625" style="56" customWidth="1"/>
    <col min="10" max="16384" width="11.421875" style="56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spans="1:9" ht="15.75" customHeight="1">
      <c r="A10" s="636" t="s">
        <v>232</v>
      </c>
      <c r="B10" s="636"/>
      <c r="C10" s="636"/>
      <c r="D10" s="636"/>
      <c r="E10" s="636"/>
      <c r="F10" s="636"/>
      <c r="G10" s="636"/>
      <c r="H10" s="636"/>
      <c r="I10" s="636"/>
    </row>
    <row r="11" ht="15.75" customHeight="1"/>
    <row r="12" ht="15.75" customHeight="1" thickBot="1"/>
    <row r="13" spans="1:9" ht="15.75">
      <c r="A13" s="627" t="s">
        <v>217</v>
      </c>
      <c r="B13" s="628"/>
      <c r="C13" s="628"/>
      <c r="D13" s="629"/>
      <c r="E13" s="400" t="s">
        <v>26</v>
      </c>
      <c r="F13" s="403" t="s">
        <v>26</v>
      </c>
      <c r="G13" s="400" t="s">
        <v>26</v>
      </c>
      <c r="H13" s="403" t="s">
        <v>26</v>
      </c>
      <c r="I13" s="405" t="s">
        <v>27</v>
      </c>
    </row>
    <row r="14" spans="1:9" ht="15.75">
      <c r="A14" s="630"/>
      <c r="B14" s="631"/>
      <c r="C14" s="631"/>
      <c r="D14" s="632"/>
      <c r="E14" s="401" t="s">
        <v>12</v>
      </c>
      <c r="F14" s="398" t="s">
        <v>13</v>
      </c>
      <c r="G14" s="401" t="s">
        <v>13</v>
      </c>
      <c r="H14" s="398" t="s">
        <v>14</v>
      </c>
      <c r="I14" s="406"/>
    </row>
    <row r="15" spans="1:9" ht="16.5" thickBot="1">
      <c r="A15" s="633"/>
      <c r="B15" s="634"/>
      <c r="C15" s="634"/>
      <c r="D15" s="635"/>
      <c r="E15" s="402" t="s">
        <v>16</v>
      </c>
      <c r="F15" s="404" t="s">
        <v>28</v>
      </c>
      <c r="G15" s="402" t="s">
        <v>29</v>
      </c>
      <c r="H15" s="404" t="s">
        <v>17</v>
      </c>
      <c r="I15" s="557">
        <v>39629</v>
      </c>
    </row>
    <row r="16" spans="1:9" ht="12.75">
      <c r="A16" s="75"/>
      <c r="B16" s="57"/>
      <c r="C16" s="57"/>
      <c r="D16" s="399"/>
      <c r="E16" s="58"/>
      <c r="F16" s="59"/>
      <c r="G16" s="59"/>
      <c r="H16" s="59"/>
      <c r="I16" s="59"/>
    </row>
    <row r="17" spans="1:9" ht="12.75">
      <c r="A17" s="60" t="s">
        <v>30</v>
      </c>
      <c r="B17" s="61"/>
      <c r="C17" s="61"/>
      <c r="D17" s="62"/>
      <c r="E17" s="58">
        <v>0</v>
      </c>
      <c r="F17" s="58">
        <v>0</v>
      </c>
      <c r="G17" s="58">
        <v>0</v>
      </c>
      <c r="H17" s="58">
        <v>0</v>
      </c>
      <c r="I17" s="59">
        <f>SUM(E17:H17)</f>
        <v>0</v>
      </c>
    </row>
    <row r="18" spans="1:9" ht="12.75">
      <c r="A18" s="63" t="s">
        <v>31</v>
      </c>
      <c r="B18" s="61"/>
      <c r="C18" s="61"/>
      <c r="D18" s="64"/>
      <c r="E18" s="58"/>
      <c r="F18" s="59"/>
      <c r="G18" s="59"/>
      <c r="H18" s="59"/>
      <c r="I18" s="59"/>
    </row>
    <row r="19" spans="1:9" ht="12.75">
      <c r="A19" s="60"/>
      <c r="B19" s="65"/>
      <c r="D19" s="62"/>
      <c r="E19" s="58"/>
      <c r="F19" s="59"/>
      <c r="G19" s="59"/>
      <c r="H19" s="58"/>
      <c r="I19" s="58"/>
    </row>
    <row r="20" spans="1:9" ht="12.75">
      <c r="A20" s="63" t="s">
        <v>208</v>
      </c>
      <c r="B20" s="61"/>
      <c r="C20" s="61"/>
      <c r="D20" s="62"/>
      <c r="E20" s="58"/>
      <c r="F20" s="59"/>
      <c r="G20" s="59"/>
      <c r="H20" s="66"/>
      <c r="I20" s="67">
        <f>(E20+F20+G20+H20)</f>
        <v>0</v>
      </c>
    </row>
    <row r="21" spans="1:9" ht="12.75">
      <c r="A21" s="68"/>
      <c r="B21" s="65"/>
      <c r="C21" s="69"/>
      <c r="D21" s="70"/>
      <c r="E21" s="58"/>
      <c r="F21" s="71"/>
      <c r="G21" s="59"/>
      <c r="H21" s="59"/>
      <c r="I21" s="59"/>
    </row>
    <row r="22" spans="1:9" ht="15" customHeight="1">
      <c r="A22" s="63"/>
      <c r="B22" s="72"/>
      <c r="C22" s="61"/>
      <c r="D22" s="62"/>
      <c r="E22" s="58"/>
      <c r="F22" s="59"/>
      <c r="G22" s="59"/>
      <c r="H22" s="59"/>
      <c r="I22" s="59"/>
    </row>
    <row r="23" spans="1:9" ht="12.75">
      <c r="A23" s="60" t="s">
        <v>32</v>
      </c>
      <c r="B23" s="61"/>
      <c r="C23" s="61"/>
      <c r="D23" s="62"/>
      <c r="E23" s="59">
        <f>E27+E30+E32+E34</f>
        <v>158039</v>
      </c>
      <c r="F23" s="59">
        <f>F27+F30+F32+F34</f>
        <v>464125</v>
      </c>
      <c r="G23" s="59">
        <f>G27+G30+G32+G34</f>
        <v>511000</v>
      </c>
      <c r="H23" s="59">
        <f>H27+H30+H32+H34</f>
        <v>39000</v>
      </c>
      <c r="I23" s="323">
        <f>I27+I30+I32+I34</f>
        <v>1172164</v>
      </c>
    </row>
    <row r="24" spans="1:9" ht="12.75">
      <c r="A24" s="63" t="s">
        <v>33</v>
      </c>
      <c r="B24" s="72"/>
      <c r="D24" s="73"/>
      <c r="E24" s="59"/>
      <c r="F24" s="59"/>
      <c r="G24" s="59"/>
      <c r="H24" s="59"/>
      <c r="I24" s="323"/>
    </row>
    <row r="25" spans="1:9" ht="12.75">
      <c r="A25" s="63"/>
      <c r="B25" s="72"/>
      <c r="D25" s="74"/>
      <c r="E25" s="58"/>
      <c r="F25" s="59"/>
      <c r="G25" s="59"/>
      <c r="H25" s="59"/>
      <c r="I25" s="323"/>
    </row>
    <row r="26" spans="1:9" ht="12.75">
      <c r="A26" s="63"/>
      <c r="B26" s="72"/>
      <c r="C26" s="254"/>
      <c r="D26" s="74"/>
      <c r="E26" s="58"/>
      <c r="F26" s="59"/>
      <c r="G26" s="59"/>
      <c r="H26" s="59"/>
      <c r="I26" s="323"/>
    </row>
    <row r="27" spans="1:9" ht="12.75">
      <c r="A27" s="63"/>
      <c r="B27" s="65" t="s">
        <v>34</v>
      </c>
      <c r="C27" s="65"/>
      <c r="D27" s="72"/>
      <c r="E27" s="58">
        <f>2066+348</f>
        <v>2414</v>
      </c>
      <c r="F27" s="59"/>
      <c r="G27" s="59"/>
      <c r="H27" s="59"/>
      <c r="I27" s="324">
        <f>(E27+F27+G27+H27)</f>
        <v>2414</v>
      </c>
    </row>
    <row r="28" spans="1:9" ht="13.5">
      <c r="A28" s="63"/>
      <c r="C28" s="254" t="s">
        <v>197</v>
      </c>
      <c r="D28" s="72"/>
      <c r="E28" s="325">
        <v>348</v>
      </c>
      <c r="F28" s="326"/>
      <c r="G28" s="326"/>
      <c r="H28" s="326"/>
      <c r="I28" s="327">
        <f>SUM(E28:H28)</f>
        <v>348</v>
      </c>
    </row>
    <row r="29" spans="1:9" ht="12.75">
      <c r="A29" s="75"/>
      <c r="B29" s="65"/>
      <c r="C29" s="65"/>
      <c r="D29" s="72"/>
      <c r="E29" s="58"/>
      <c r="F29" s="59"/>
      <c r="G29" s="59"/>
      <c r="H29" s="59"/>
      <c r="I29" s="322"/>
    </row>
    <row r="30" spans="1:9" ht="12.75">
      <c r="A30" s="63"/>
      <c r="B30" s="72" t="s">
        <v>35</v>
      </c>
      <c r="C30" s="65"/>
      <c r="D30" s="72"/>
      <c r="E30" s="58">
        <f>50000+47972+45000+1+12652</f>
        <v>155625</v>
      </c>
      <c r="F30" s="58">
        <f>140000+324125</f>
        <v>464125</v>
      </c>
      <c r="G30" s="58">
        <v>511000</v>
      </c>
      <c r="H30" s="76">
        <v>39000</v>
      </c>
      <c r="I30" s="324">
        <f>(E30+F30+G30+H30)</f>
        <v>1169750</v>
      </c>
    </row>
    <row r="31" spans="1:9" ht="12.75">
      <c r="A31" s="75"/>
      <c r="C31" s="91" t="s">
        <v>147</v>
      </c>
      <c r="D31" s="72"/>
      <c r="E31" s="58">
        <v>12652</v>
      </c>
      <c r="F31" s="59"/>
      <c r="G31" s="59"/>
      <c r="H31" s="58"/>
      <c r="I31" s="322">
        <f>SUM(E31:H31)</f>
        <v>12652</v>
      </c>
    </row>
    <row r="32" spans="1:9" ht="12.75">
      <c r="A32" s="63"/>
      <c r="B32" s="65" t="s">
        <v>36</v>
      </c>
      <c r="D32" s="62"/>
      <c r="E32" s="58">
        <v>0</v>
      </c>
      <c r="F32" s="58">
        <f>F35</f>
        <v>0</v>
      </c>
      <c r="G32" s="58"/>
      <c r="H32" s="58"/>
      <c r="I32" s="67">
        <f>(E32+F32+G32+H32)</f>
        <v>0</v>
      </c>
    </row>
    <row r="33" spans="1:9" ht="12.75">
      <c r="A33" s="63"/>
      <c r="B33" s="61"/>
      <c r="C33" s="61"/>
      <c r="D33" s="62"/>
      <c r="E33" s="58"/>
      <c r="F33" s="59"/>
      <c r="G33" s="59"/>
      <c r="H33" s="59"/>
      <c r="I33" s="59"/>
    </row>
    <row r="34" spans="1:9" ht="12.75">
      <c r="A34" s="63"/>
      <c r="B34" s="61" t="s">
        <v>37</v>
      </c>
      <c r="C34" s="61"/>
      <c r="E34" s="58"/>
      <c r="F34" s="59"/>
      <c r="G34" s="59"/>
      <c r="H34" s="59"/>
      <c r="I34" s="59"/>
    </row>
    <row r="35" spans="1:9" ht="12.75">
      <c r="A35" s="63"/>
      <c r="B35" s="61" t="s">
        <v>38</v>
      </c>
      <c r="C35" s="61"/>
      <c r="D35" s="62"/>
      <c r="E35" s="58"/>
      <c r="F35" s="59"/>
      <c r="G35" s="59"/>
      <c r="H35" s="59"/>
      <c r="I35" s="58">
        <f>E35</f>
        <v>0</v>
      </c>
    </row>
    <row r="36" spans="1:9" ht="12.75">
      <c r="A36" s="63"/>
      <c r="B36" s="61"/>
      <c r="C36" s="61"/>
      <c r="D36" s="62"/>
      <c r="E36" s="58"/>
      <c r="F36" s="59"/>
      <c r="G36" s="59"/>
      <c r="H36" s="59"/>
      <c r="I36" s="59"/>
    </row>
    <row r="37" spans="1:9" s="57" customFormat="1" ht="12.75">
      <c r="A37" s="75"/>
      <c r="B37" s="65"/>
      <c r="C37" s="69"/>
      <c r="D37" s="70"/>
      <c r="E37" s="58"/>
      <c r="F37" s="59"/>
      <c r="G37" s="59"/>
      <c r="H37" s="59"/>
      <c r="I37" s="59"/>
    </row>
    <row r="38" spans="1:9" ht="13.5" thickBot="1">
      <c r="A38" s="75"/>
      <c r="B38" s="65"/>
      <c r="C38" s="69"/>
      <c r="D38" s="70"/>
      <c r="E38" s="58"/>
      <c r="F38" s="59"/>
      <c r="G38" s="59"/>
      <c r="H38" s="59"/>
      <c r="I38" s="59"/>
    </row>
    <row r="39" spans="1:9" ht="12.75">
      <c r="A39" s="410"/>
      <c r="B39" s="411" t="s">
        <v>15</v>
      </c>
      <c r="C39" s="412"/>
      <c r="D39" s="413"/>
      <c r="E39" s="407">
        <f>+E23</f>
        <v>158039</v>
      </c>
      <c r="F39" s="407">
        <f>+F23</f>
        <v>464125</v>
      </c>
      <c r="G39" s="407">
        <f>+G23</f>
        <v>511000</v>
      </c>
      <c r="H39" s="407">
        <f>+H23</f>
        <v>39000</v>
      </c>
      <c r="I39" s="407">
        <f>+I23</f>
        <v>1172164</v>
      </c>
    </row>
    <row r="40" spans="1:9" ht="16.5" thickBot="1">
      <c r="A40" s="414"/>
      <c r="B40" s="415"/>
      <c r="C40" s="416"/>
      <c r="D40" s="417"/>
      <c r="E40" s="409"/>
      <c r="F40" s="409"/>
      <c r="G40" s="409"/>
      <c r="H40" s="409"/>
      <c r="I40" s="408"/>
    </row>
    <row r="41" spans="1:9" ht="12.75">
      <c r="A41" s="57"/>
      <c r="B41" s="57"/>
      <c r="C41" s="57"/>
      <c r="D41" s="57"/>
      <c r="E41" s="77"/>
      <c r="F41" s="78"/>
      <c r="G41" s="78"/>
      <c r="H41" s="78"/>
      <c r="I41" s="78"/>
    </row>
    <row r="42" spans="1:10" ht="12.75">
      <c r="A42" s="418" t="s">
        <v>128</v>
      </c>
      <c r="B42" s="418"/>
      <c r="C42" s="418"/>
      <c r="D42" s="418"/>
      <c r="E42" s="419"/>
      <c r="F42" s="419"/>
      <c r="G42" s="419"/>
      <c r="H42" s="419"/>
      <c r="I42" s="419"/>
      <c r="J42" s="418"/>
    </row>
    <row r="43" spans="5:9" ht="12.75">
      <c r="E43" s="71"/>
      <c r="F43" s="71"/>
      <c r="G43" s="71"/>
      <c r="H43" s="71"/>
      <c r="I43" s="71"/>
    </row>
    <row r="44" spans="5:9" ht="12.75">
      <c r="E44" s="71"/>
      <c r="F44" s="71"/>
      <c r="G44" s="71"/>
      <c r="H44" s="71"/>
      <c r="I44" s="71"/>
    </row>
    <row r="45" spans="5:9" ht="12.75">
      <c r="E45" s="71"/>
      <c r="F45" s="71"/>
      <c r="G45" s="71"/>
      <c r="H45" s="71"/>
      <c r="I45" s="71"/>
    </row>
    <row r="46" spans="1:9" ht="15.75">
      <c r="A46" s="79"/>
      <c r="B46" s="72"/>
      <c r="C46" s="69"/>
      <c r="D46" s="69"/>
      <c r="E46" s="77"/>
      <c r="F46" s="77"/>
      <c r="G46" s="77"/>
      <c r="H46" s="77"/>
      <c r="I46" s="77"/>
    </row>
    <row r="47" spans="1:9" ht="12.75">
      <c r="A47" s="57"/>
      <c r="B47" s="72"/>
      <c r="C47" s="69"/>
      <c r="D47" s="69"/>
      <c r="E47" s="77"/>
      <c r="F47" s="77"/>
      <c r="G47" s="77"/>
      <c r="H47" s="77"/>
      <c r="I47" s="77"/>
    </row>
    <row r="48" spans="5:9" ht="12.75">
      <c r="E48" s="71"/>
      <c r="F48" s="71"/>
      <c r="G48" s="71"/>
      <c r="H48" s="71"/>
      <c r="I48" s="71"/>
    </row>
    <row r="49" ht="12.75">
      <c r="A49" s="57"/>
    </row>
    <row r="50" ht="15.75" customHeight="1">
      <c r="A50" s="57"/>
    </row>
    <row r="51" spans="5:9" ht="12.75">
      <c r="E51" s="71"/>
      <c r="F51" s="71"/>
      <c r="G51" s="71"/>
      <c r="H51" s="71"/>
      <c r="I51" s="71"/>
    </row>
  </sheetData>
  <mergeCells count="2">
    <mergeCell ref="A13:D15"/>
    <mergeCell ref="A10:I10"/>
  </mergeCells>
  <printOptions horizontalCentered="1" verticalCentered="1"/>
  <pageMargins left="0.3937007874015748" right="0.3937007874015748" top="0.3937007874015748" bottom="0.3937007874015748" header="0.4330708661417323" footer="0.5118110236220472"/>
  <pageSetup horizontalDpi="300" verticalDpi="300" orientation="landscape" paperSize="9" scale="90" r:id="rId4"/>
  <headerFooter alignWithMargins="0">
    <oddHeader>&amp;R&amp;"Arial,Gras"&amp;18NOTES ANNEXES AUX COMPTES SOCIAUX &amp;B</oddHead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M72"/>
  <sheetViews>
    <sheetView zoomScale="75" zoomScaleNormal="75" workbookViewId="0" topLeftCell="A1">
      <selection activeCell="A26" sqref="A26"/>
    </sheetView>
  </sheetViews>
  <sheetFormatPr defaultColWidth="11.421875" defaultRowHeight="12.75"/>
  <cols>
    <col min="1" max="1" width="3.28125" style="81" customWidth="1"/>
    <col min="2" max="2" width="11.421875" style="81" customWidth="1"/>
    <col min="3" max="3" width="12.7109375" style="81" customWidth="1"/>
    <col min="4" max="4" width="22.00390625" style="81" customWidth="1"/>
    <col min="5" max="5" width="14.421875" style="81" customWidth="1"/>
    <col min="6" max="6" width="15.7109375" style="81" customWidth="1"/>
    <col min="7" max="7" width="16.57421875" style="81" customWidth="1"/>
    <col min="8" max="8" width="16.8515625" style="81" customWidth="1"/>
    <col min="9" max="9" width="14.28125" style="81" customWidth="1"/>
    <col min="10" max="16384" width="11.421875" style="81" customWidth="1"/>
  </cols>
  <sheetData>
    <row r="1" spans="1:9" ht="15.75" customHeight="1">
      <c r="A1" s="80"/>
      <c r="B1" s="80"/>
      <c r="C1" s="80"/>
      <c r="D1" s="80"/>
      <c r="E1" s="80"/>
      <c r="F1" s="80"/>
      <c r="G1" s="80"/>
      <c r="H1" s="80"/>
      <c r="I1" s="80"/>
    </row>
    <row r="2" spans="1:9" ht="15.75" customHeight="1">
      <c r="A2" s="80"/>
      <c r="B2" s="80"/>
      <c r="C2" s="80"/>
      <c r="D2" s="80"/>
      <c r="E2" s="80"/>
      <c r="F2" s="80"/>
      <c r="G2" s="80"/>
      <c r="H2" s="80"/>
      <c r="I2" s="80"/>
    </row>
    <row r="3" spans="1:9" ht="15.75" customHeight="1">
      <c r="A3" s="80"/>
      <c r="B3" s="80"/>
      <c r="C3" s="80"/>
      <c r="D3" s="80"/>
      <c r="E3" s="80"/>
      <c r="F3" s="80"/>
      <c r="G3" s="80"/>
      <c r="H3" s="80"/>
      <c r="I3" s="80"/>
    </row>
    <row r="4" spans="1:9" ht="18" customHeight="1">
      <c r="A4" s="80"/>
      <c r="B4" s="80"/>
      <c r="C4" s="80"/>
      <c r="D4" s="80"/>
      <c r="E4" s="80"/>
      <c r="F4" s="80"/>
      <c r="G4" s="80"/>
      <c r="H4" s="80"/>
      <c r="I4" s="80"/>
    </row>
    <row r="5" spans="1:9" ht="15.75" customHeight="1">
      <c r="A5" s="80"/>
      <c r="B5" s="82"/>
      <c r="C5" s="82"/>
      <c r="D5" s="82"/>
      <c r="E5" s="82"/>
      <c r="F5" s="82"/>
      <c r="G5" s="82"/>
      <c r="H5" s="82"/>
      <c r="I5" s="80"/>
    </row>
    <row r="6" spans="1:13" ht="15.75" customHeight="1">
      <c r="A6" s="637" t="s">
        <v>233</v>
      </c>
      <c r="B6" s="637"/>
      <c r="C6" s="637"/>
      <c r="D6" s="637"/>
      <c r="E6" s="637"/>
      <c r="F6" s="637"/>
      <c r="G6" s="637"/>
      <c r="H6" s="637"/>
      <c r="I6" s="637"/>
      <c r="J6" s="516"/>
      <c r="K6" s="516"/>
      <c r="L6" s="516"/>
      <c r="M6" s="80"/>
    </row>
    <row r="7" spans="1:13" ht="15.75" customHeight="1">
      <c r="A7" s="637"/>
      <c r="B7" s="637"/>
      <c r="C7" s="637"/>
      <c r="D7" s="637"/>
      <c r="E7" s="637"/>
      <c r="F7" s="637"/>
      <c r="G7" s="637"/>
      <c r="H7" s="637"/>
      <c r="I7" s="637"/>
      <c r="J7" s="516"/>
      <c r="K7" s="516"/>
      <c r="L7" s="516"/>
      <c r="M7" s="80"/>
    </row>
    <row r="8" spans="1:13" ht="15.75" customHeight="1">
      <c r="A8" s="420"/>
      <c r="B8" s="80"/>
      <c r="C8" s="421"/>
      <c r="D8" s="421"/>
      <c r="E8" s="421"/>
      <c r="F8" s="421"/>
      <c r="G8" s="421"/>
      <c r="H8" s="421"/>
      <c r="I8" s="421"/>
      <c r="J8" s="80"/>
      <c r="K8" s="80"/>
      <c r="L8" s="80"/>
      <c r="M8" s="80"/>
    </row>
    <row r="9" spans="1:9" ht="15.75" customHeight="1" thickBot="1">
      <c r="A9" s="80"/>
      <c r="B9" s="80"/>
      <c r="C9" s="80"/>
      <c r="D9" s="80"/>
      <c r="E9" s="80"/>
      <c r="F9" s="80"/>
      <c r="G9" s="80"/>
      <c r="H9" s="80"/>
      <c r="I9" s="80"/>
    </row>
    <row r="10" spans="1:9" ht="19.5" customHeight="1">
      <c r="A10" s="638" t="s">
        <v>218</v>
      </c>
      <c r="B10" s="639"/>
      <c r="C10" s="639"/>
      <c r="D10" s="640"/>
      <c r="E10" s="517" t="s">
        <v>145</v>
      </c>
      <c r="F10" s="518" t="s">
        <v>145</v>
      </c>
      <c r="G10" s="517" t="s">
        <v>145</v>
      </c>
      <c r="H10" s="518" t="s">
        <v>145</v>
      </c>
      <c r="I10" s="519" t="s">
        <v>144</v>
      </c>
    </row>
    <row r="11" spans="1:9" ht="19.5" customHeight="1">
      <c r="A11" s="641"/>
      <c r="B11" s="642"/>
      <c r="C11" s="642"/>
      <c r="D11" s="643"/>
      <c r="E11" s="520" t="s">
        <v>39</v>
      </c>
      <c r="F11" s="521" t="s">
        <v>40</v>
      </c>
      <c r="G11" s="520" t="s">
        <v>40</v>
      </c>
      <c r="H11" s="521" t="s">
        <v>41</v>
      </c>
      <c r="I11" s="558">
        <v>39629</v>
      </c>
    </row>
    <row r="12" spans="1:9" ht="19.5" customHeight="1" thickBot="1">
      <c r="A12" s="644"/>
      <c r="B12" s="645"/>
      <c r="C12" s="645"/>
      <c r="D12" s="646"/>
      <c r="E12" s="522" t="s">
        <v>42</v>
      </c>
      <c r="F12" s="523" t="s">
        <v>28</v>
      </c>
      <c r="G12" s="522" t="s">
        <v>29</v>
      </c>
      <c r="H12" s="523" t="s">
        <v>43</v>
      </c>
      <c r="I12" s="524"/>
    </row>
    <row r="13" spans="1:9" ht="12.75">
      <c r="A13" s="85"/>
      <c r="B13" s="80"/>
      <c r="C13" s="80"/>
      <c r="D13" s="86"/>
      <c r="E13" s="83"/>
      <c r="F13" s="84"/>
      <c r="G13" s="84"/>
      <c r="H13" s="84"/>
      <c r="I13" s="84"/>
    </row>
    <row r="14" spans="1:9" ht="12.75">
      <c r="A14" s="300" t="s">
        <v>44</v>
      </c>
      <c r="C14" s="80"/>
      <c r="D14" s="86"/>
      <c r="E14" s="88">
        <f>E16+E18+E20+E22+E24</f>
        <v>942451</v>
      </c>
      <c r="F14" s="88">
        <f>F16+F18+F20+F22+F24</f>
        <v>70259</v>
      </c>
      <c r="G14" s="88">
        <f>G16+G18+G20+G22+G24</f>
        <v>35455</v>
      </c>
      <c r="H14" s="88">
        <f>H16+H18+H20+H22+H24</f>
        <v>1</v>
      </c>
      <c r="I14" s="88">
        <f>I16+I18+I20+I22+I24</f>
        <v>1048166</v>
      </c>
    </row>
    <row r="15" spans="1:9" ht="12.75">
      <c r="A15" s="85"/>
      <c r="B15" s="80"/>
      <c r="C15" s="80"/>
      <c r="D15" s="86"/>
      <c r="E15" s="87"/>
      <c r="F15" s="88"/>
      <c r="G15" s="88"/>
      <c r="H15" s="88"/>
      <c r="I15" s="88"/>
    </row>
    <row r="16" spans="1:9" ht="12.75">
      <c r="A16" s="85"/>
      <c r="B16" s="80"/>
      <c r="C16" s="80" t="s">
        <v>45</v>
      </c>
      <c r="D16" s="86"/>
      <c r="E16" s="87">
        <v>493018</v>
      </c>
      <c r="F16" s="87"/>
      <c r="G16" s="87"/>
      <c r="H16" s="87"/>
      <c r="I16" s="87">
        <f>E16+F16+G16+H16</f>
        <v>493018</v>
      </c>
    </row>
    <row r="17" spans="1:9" ht="12.75">
      <c r="A17" s="85"/>
      <c r="B17" s="80"/>
      <c r="C17" s="80"/>
      <c r="D17" s="91" t="s">
        <v>147</v>
      </c>
      <c r="E17" s="89"/>
      <c r="F17" s="89"/>
      <c r="G17" s="89"/>
      <c r="H17" s="89"/>
      <c r="I17" s="89"/>
    </row>
    <row r="18" spans="1:9" ht="12.75">
      <c r="A18" s="85"/>
      <c r="B18" s="80"/>
      <c r="C18" s="80" t="s">
        <v>46</v>
      </c>
      <c r="D18" s="86"/>
      <c r="E18" s="87">
        <f>36849+29753+467</f>
        <v>67069</v>
      </c>
      <c r="F18" s="329">
        <f>6207+1335</f>
        <v>7542</v>
      </c>
      <c r="G18" s="87"/>
      <c r="H18" s="87"/>
      <c r="I18" s="328">
        <f>E18+F18+G18+H18</f>
        <v>74611</v>
      </c>
    </row>
    <row r="19" spans="1:9" ht="12.75">
      <c r="A19" s="85"/>
      <c r="B19" s="80"/>
      <c r="C19" s="80"/>
      <c r="D19" s="91" t="s">
        <v>147</v>
      </c>
      <c r="E19" s="89">
        <v>467</v>
      </c>
      <c r="F19" s="89"/>
      <c r="G19" s="89"/>
      <c r="H19" s="89"/>
      <c r="I19" s="89">
        <f>E19+F19+G19+H19</f>
        <v>467</v>
      </c>
    </row>
    <row r="20" spans="1:9" ht="12.75">
      <c r="A20" s="85"/>
      <c r="B20" s="80"/>
      <c r="C20" s="80" t="s">
        <v>203</v>
      </c>
      <c r="D20" s="86"/>
      <c r="E20" s="87">
        <f>26585+10413+14302+7216+318893</f>
        <v>377409</v>
      </c>
      <c r="F20" s="87">
        <f>23115+39475+3+124</f>
        <v>62717</v>
      </c>
      <c r="G20" s="87">
        <f>35441+14</f>
        <v>35455</v>
      </c>
      <c r="H20" s="87">
        <v>1</v>
      </c>
      <c r="I20" s="328">
        <f>E20+F20+G20+H20</f>
        <v>475582</v>
      </c>
    </row>
    <row r="21" spans="1:9" ht="12.75">
      <c r="A21" s="85"/>
      <c r="B21" s="80"/>
      <c r="C21" s="80"/>
      <c r="D21" s="91" t="s">
        <v>147</v>
      </c>
      <c r="E21" s="89">
        <v>7216</v>
      </c>
      <c r="F21" s="89"/>
      <c r="G21" s="89"/>
      <c r="H21" s="89"/>
      <c r="I21" s="89"/>
    </row>
    <row r="22" spans="1:9" ht="12.75">
      <c r="A22" s="85"/>
      <c r="B22" s="80"/>
      <c r="C22" s="255" t="s">
        <v>146</v>
      </c>
      <c r="D22" s="86"/>
      <c r="E22" s="87">
        <v>4955</v>
      </c>
      <c r="F22" s="87"/>
      <c r="G22" s="87"/>
      <c r="H22" s="87"/>
      <c r="I22" s="328">
        <f>E22+F22+G22+H22</f>
        <v>4955</v>
      </c>
    </row>
    <row r="23" spans="1:9" ht="13.5">
      <c r="A23" s="85"/>
      <c r="B23" s="80"/>
      <c r="C23" s="80"/>
      <c r="D23" s="91" t="s">
        <v>147</v>
      </c>
      <c r="E23" s="89"/>
      <c r="F23" s="90"/>
      <c r="G23" s="90"/>
      <c r="H23" s="90"/>
      <c r="I23" s="90"/>
    </row>
    <row r="24" spans="1:9" ht="13.5">
      <c r="A24" s="85"/>
      <c r="B24" s="80"/>
      <c r="C24" s="80" t="s">
        <v>47</v>
      </c>
      <c r="D24" s="86"/>
      <c r="E24" s="89"/>
      <c r="F24" s="90"/>
      <c r="G24" s="90"/>
      <c r="H24" s="90"/>
      <c r="I24" s="328"/>
    </row>
    <row r="25" spans="1:9" s="80" customFormat="1" ht="19.5" customHeight="1">
      <c r="A25" s="85"/>
      <c r="D25" s="86"/>
      <c r="E25" s="88"/>
      <c r="F25" s="88"/>
      <c r="G25" s="88"/>
      <c r="H25" s="88"/>
      <c r="I25" s="88"/>
    </row>
    <row r="26" spans="1:9" s="80" customFormat="1" ht="12.75">
      <c r="A26" s="300" t="s">
        <v>148</v>
      </c>
      <c r="D26" s="86"/>
      <c r="E26" s="88">
        <f>E28+E30</f>
        <v>44401</v>
      </c>
      <c r="F26" s="88">
        <f>F28+F30</f>
        <v>5835</v>
      </c>
      <c r="G26" s="88">
        <f>G28+G30</f>
        <v>0</v>
      </c>
      <c r="H26" s="88">
        <f>H28+H30</f>
        <v>0</v>
      </c>
      <c r="I26" s="226">
        <f>E26+F26+G26+H26</f>
        <v>50236</v>
      </c>
    </row>
    <row r="27" spans="1:9" ht="12.75">
      <c r="A27" s="85"/>
      <c r="B27" s="80"/>
      <c r="C27" s="80"/>
      <c r="D27" s="86"/>
      <c r="E27" s="87"/>
      <c r="F27" s="88"/>
      <c r="G27" s="88"/>
      <c r="H27" s="88"/>
      <c r="I27" s="88"/>
    </row>
    <row r="28" spans="1:9" ht="12.75">
      <c r="A28" s="85"/>
      <c r="B28" s="80"/>
      <c r="C28" s="80" t="s">
        <v>48</v>
      </c>
      <c r="D28" s="86"/>
      <c r="E28" s="87">
        <f>418+2</f>
        <v>420</v>
      </c>
      <c r="F28" s="87">
        <v>9</v>
      </c>
      <c r="G28" s="87"/>
      <c r="H28" s="87"/>
      <c r="I28" s="328">
        <f>E28+F28+G28+H28</f>
        <v>429</v>
      </c>
    </row>
    <row r="29" spans="1:9" ht="13.5">
      <c r="A29" s="85"/>
      <c r="B29" s="80"/>
      <c r="C29" s="80"/>
      <c r="D29" s="91" t="s">
        <v>147</v>
      </c>
      <c r="E29" s="89">
        <v>2</v>
      </c>
      <c r="F29" s="89"/>
      <c r="G29" s="89"/>
      <c r="H29" s="90"/>
      <c r="I29" s="89"/>
    </row>
    <row r="30" spans="1:9" ht="12.75">
      <c r="A30" s="85"/>
      <c r="B30" s="80"/>
      <c r="C30" s="80" t="s">
        <v>201</v>
      </c>
      <c r="D30" s="86"/>
      <c r="E30" s="87">
        <f>21276+22393+312</f>
        <v>43981</v>
      </c>
      <c r="F30" s="87">
        <f>5008+818</f>
        <v>5826</v>
      </c>
      <c r="G30" s="87"/>
      <c r="H30" s="88"/>
      <c r="I30" s="328">
        <f>E30+F30+G30+H30</f>
        <v>49807</v>
      </c>
    </row>
    <row r="31" spans="1:9" ht="12.75">
      <c r="A31" s="85"/>
      <c r="B31" s="80"/>
      <c r="C31" s="80" t="s">
        <v>200</v>
      </c>
      <c r="D31" s="91" t="s">
        <v>147</v>
      </c>
      <c r="E31" s="89">
        <v>312</v>
      </c>
      <c r="F31" s="89"/>
      <c r="G31" s="89"/>
      <c r="H31" s="89"/>
      <c r="I31" s="89">
        <f>E31+F31+G31+H31</f>
        <v>312</v>
      </c>
    </row>
    <row r="32" spans="1:9" ht="15" customHeight="1">
      <c r="A32" s="85"/>
      <c r="B32" s="80"/>
      <c r="C32" s="80"/>
      <c r="D32" s="86"/>
      <c r="E32" s="87"/>
      <c r="F32" s="88"/>
      <c r="G32" s="88"/>
      <c r="H32" s="88"/>
      <c r="I32" s="88"/>
    </row>
    <row r="33" spans="1:9" ht="12.75">
      <c r="A33" s="85"/>
      <c r="B33" s="80"/>
      <c r="C33" s="80"/>
      <c r="D33" s="86"/>
      <c r="E33" s="87"/>
      <c r="F33" s="87"/>
      <c r="G33" s="87"/>
      <c r="H33" s="87"/>
      <c r="I33" s="88"/>
    </row>
    <row r="34" spans="1:9" ht="13.5" thickBot="1">
      <c r="A34" s="85"/>
      <c r="B34" s="80"/>
      <c r="C34" s="80"/>
      <c r="D34" s="86"/>
      <c r="E34" s="88"/>
      <c r="F34" s="88"/>
      <c r="G34" s="88"/>
      <c r="H34" s="88"/>
      <c r="I34" s="88"/>
    </row>
    <row r="35" spans="1:9" ht="12.75">
      <c r="A35" s="422"/>
      <c r="B35" s="423"/>
      <c r="C35" s="423"/>
      <c r="D35" s="424"/>
      <c r="E35" s="425"/>
      <c r="F35" s="426"/>
      <c r="G35" s="427"/>
      <c r="H35" s="426"/>
      <c r="I35" s="428"/>
    </row>
    <row r="36" spans="1:9" ht="12.75">
      <c r="A36" s="429" t="s">
        <v>144</v>
      </c>
      <c r="B36" s="430"/>
      <c r="C36" s="430"/>
      <c r="D36" s="431"/>
      <c r="E36" s="432">
        <f>E14+E26</f>
        <v>986852</v>
      </c>
      <c r="F36" s="433">
        <f>F14+F26</f>
        <v>76094</v>
      </c>
      <c r="G36" s="432">
        <f>G14+G26</f>
        <v>35455</v>
      </c>
      <c r="H36" s="433">
        <f>H14+H26</f>
        <v>1</v>
      </c>
      <c r="I36" s="434">
        <f>I14+I26</f>
        <v>1098402</v>
      </c>
    </row>
    <row r="37" spans="1:9" ht="16.5" thickBot="1">
      <c r="A37" s="435"/>
      <c r="B37" s="415"/>
      <c r="C37" s="436"/>
      <c r="D37" s="437"/>
      <c r="E37" s="438"/>
      <c r="F37" s="439"/>
      <c r="G37" s="438"/>
      <c r="H37" s="439"/>
      <c r="I37" s="440"/>
    </row>
    <row r="38" spans="1:9" ht="12.75">
      <c r="A38" s="80"/>
      <c r="B38" s="80"/>
      <c r="C38" s="80"/>
      <c r="D38" s="80"/>
      <c r="E38" s="80"/>
      <c r="F38" s="80"/>
      <c r="G38" s="80"/>
      <c r="H38" s="80"/>
      <c r="I38" s="80"/>
    </row>
    <row r="39" spans="1:9" ht="19.5" customHeight="1">
      <c r="A39" s="80"/>
      <c r="B39" s="80"/>
      <c r="C39" s="80"/>
      <c r="D39" s="80"/>
      <c r="E39" s="80"/>
      <c r="F39" s="80"/>
      <c r="G39" s="80"/>
      <c r="H39" s="80"/>
      <c r="I39" s="80"/>
    </row>
    <row r="40" spans="1:9" ht="19.5" customHeight="1">
      <c r="A40" s="525"/>
      <c r="B40" s="525"/>
      <c r="C40" s="525"/>
      <c r="D40" s="525"/>
      <c r="E40" s="525"/>
      <c r="F40" s="525"/>
      <c r="G40" s="525"/>
      <c r="H40" s="80"/>
      <c r="I40" s="80"/>
    </row>
    <row r="41" spans="1:9" ht="19.5" customHeight="1">
      <c r="A41" s="525"/>
      <c r="B41" s="525"/>
      <c r="C41" s="525"/>
      <c r="D41" s="525"/>
      <c r="E41" s="525"/>
      <c r="F41" s="525"/>
      <c r="G41" s="525"/>
      <c r="H41" s="80"/>
      <c r="I41" s="80"/>
    </row>
    <row r="42" spans="1:9" ht="19.5" customHeight="1">
      <c r="A42" s="525"/>
      <c r="B42" s="525"/>
      <c r="C42" s="525"/>
      <c r="D42" s="525"/>
      <c r="E42" s="525"/>
      <c r="F42" s="525"/>
      <c r="G42" s="525"/>
      <c r="H42" s="80"/>
      <c r="I42" s="208"/>
    </row>
    <row r="43" spans="1:9" ht="12.75">
      <c r="A43" s="525"/>
      <c r="B43" s="525"/>
      <c r="C43" s="525"/>
      <c r="D43" s="525"/>
      <c r="E43" s="525"/>
      <c r="F43" s="525"/>
      <c r="G43" s="525"/>
      <c r="H43" s="80"/>
      <c r="I43" s="80"/>
    </row>
    <row r="44" spans="1:9" ht="12.75">
      <c r="A44" s="525"/>
      <c r="B44" s="525"/>
      <c r="C44" s="525"/>
      <c r="D44" s="525"/>
      <c r="E44" s="525"/>
      <c r="F44" s="525"/>
      <c r="G44" s="525"/>
      <c r="H44" s="80"/>
      <c r="I44" s="80"/>
    </row>
    <row r="45" spans="1:9" ht="12.75">
      <c r="A45" s="525"/>
      <c r="B45" s="525"/>
      <c r="C45" s="525"/>
      <c r="D45" s="525"/>
      <c r="E45" s="525"/>
      <c r="F45" s="525"/>
      <c r="G45" s="525"/>
      <c r="H45" s="80"/>
      <c r="I45" s="80"/>
    </row>
    <row r="46" spans="1:9" ht="12.75">
      <c r="A46" s="525"/>
      <c r="B46" s="525"/>
      <c r="C46" s="525"/>
      <c r="D46" s="525"/>
      <c r="E46" s="525"/>
      <c r="F46" s="525"/>
      <c r="G46" s="525"/>
      <c r="H46" s="80"/>
      <c r="I46" s="80"/>
    </row>
    <row r="47" spans="1:9" ht="12.75">
      <c r="A47" s="525"/>
      <c r="B47" s="525"/>
      <c r="C47" s="525"/>
      <c r="D47" s="525"/>
      <c r="E47" s="525"/>
      <c r="F47" s="525"/>
      <c r="G47" s="525"/>
      <c r="H47" s="80"/>
      <c r="I47" s="80"/>
    </row>
    <row r="48" spans="1:9" ht="12.75">
      <c r="A48" s="525"/>
      <c r="B48" s="525"/>
      <c r="C48" s="525"/>
      <c r="D48" s="525"/>
      <c r="E48" s="525"/>
      <c r="F48" s="525"/>
      <c r="G48" s="525"/>
      <c r="H48" s="80"/>
      <c r="I48" s="80"/>
    </row>
    <row r="49" spans="1:9" ht="12.75">
      <c r="A49" s="525"/>
      <c r="B49" s="525"/>
      <c r="C49" s="525"/>
      <c r="D49" s="525"/>
      <c r="E49" s="525"/>
      <c r="F49" s="525"/>
      <c r="G49" s="525"/>
      <c r="H49" s="80"/>
      <c r="I49" s="80"/>
    </row>
    <row r="50" spans="1:9" ht="12.75">
      <c r="A50" s="525"/>
      <c r="B50" s="525"/>
      <c r="C50" s="525"/>
      <c r="D50" s="525"/>
      <c r="E50" s="525"/>
      <c r="F50" s="525"/>
      <c r="G50" s="525"/>
      <c r="H50" s="80"/>
      <c r="I50" s="80"/>
    </row>
    <row r="51" spans="1:9" ht="12.75">
      <c r="A51" s="525"/>
      <c r="B51" s="525"/>
      <c r="C51" s="525"/>
      <c r="D51" s="525"/>
      <c r="E51" s="525"/>
      <c r="F51" s="525"/>
      <c r="G51" s="525"/>
      <c r="H51" s="80"/>
      <c r="I51" s="80"/>
    </row>
    <row r="52" spans="1:9" ht="12.75">
      <c r="A52" s="525"/>
      <c r="B52" s="525"/>
      <c r="C52" s="525"/>
      <c r="D52" s="525"/>
      <c r="E52" s="525"/>
      <c r="F52" s="525"/>
      <c r="G52" s="525"/>
      <c r="H52" s="80"/>
      <c r="I52" s="80"/>
    </row>
    <row r="56" ht="15.75">
      <c r="A56" s="219"/>
    </row>
    <row r="72" ht="12.75">
      <c r="B72" s="92"/>
    </row>
  </sheetData>
  <mergeCells count="2">
    <mergeCell ref="A6:I7"/>
    <mergeCell ref="A10:D12"/>
  </mergeCells>
  <printOptions horizontalCentered="1" verticalCentered="1"/>
  <pageMargins left="0" right="0" top="0.1968503937007874" bottom="0.31496062992125984" header="0.4330708661417323" footer="0.1968503937007874"/>
  <pageSetup horizontalDpi="300" verticalDpi="300" orientation="landscape" paperSize="9" scale="75" r:id="rId5"/>
  <headerFooter alignWithMargins="0">
    <oddHeader>&amp;R&amp;"Arial,Gras"&amp;18NOTES ANNEXES AUX COMPTES SOCIAUX &amp;B</oddHeader>
  </headerFooter>
  <drawing r:id="rId3"/>
  <legacyDrawing r:id="rId2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6:M143"/>
  <sheetViews>
    <sheetView zoomScale="75" zoomScaleNormal="75" workbookViewId="0" topLeftCell="A1">
      <selection activeCell="A26" sqref="A26"/>
    </sheetView>
  </sheetViews>
  <sheetFormatPr defaultColWidth="11.421875" defaultRowHeight="12.75"/>
  <cols>
    <col min="1" max="1" width="43.140625" style="93" bestFit="1" customWidth="1"/>
    <col min="2" max="2" width="11.421875" style="93" customWidth="1"/>
    <col min="3" max="3" width="6.57421875" style="93" customWidth="1"/>
    <col min="4" max="4" width="1.28515625" style="93" hidden="1" customWidth="1"/>
    <col min="5" max="5" width="17.8515625" style="93" customWidth="1"/>
    <col min="6" max="6" width="16.00390625" style="93" customWidth="1"/>
    <col min="7" max="7" width="17.421875" style="93" customWidth="1"/>
    <col min="8" max="8" width="22.00390625" style="93" customWidth="1"/>
    <col min="9" max="9" width="14.7109375" style="93" customWidth="1"/>
    <col min="10" max="10" width="12.7109375" style="93" customWidth="1"/>
    <col min="11" max="11" width="12.7109375" style="94" customWidth="1"/>
    <col min="12" max="12" width="18.28125" style="95" customWidth="1"/>
    <col min="13" max="13" width="12.7109375" style="93" customWidth="1"/>
    <col min="14" max="16384" width="11.421875" style="93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1:9" ht="15.75" customHeight="1">
      <c r="A6" s="647" t="s">
        <v>234</v>
      </c>
      <c r="B6" s="647"/>
      <c r="C6" s="647"/>
      <c r="D6" s="647"/>
      <c r="E6" s="647"/>
      <c r="F6" s="647"/>
      <c r="G6" s="647"/>
      <c r="H6" s="647"/>
      <c r="I6" s="647"/>
    </row>
    <row r="7" ht="15.75" customHeight="1" thickBot="1"/>
    <row r="8" spans="1:9" ht="19.5" customHeight="1" thickBot="1">
      <c r="A8" s="447" t="s">
        <v>219</v>
      </c>
      <c r="B8" s="448"/>
      <c r="C8" s="448"/>
      <c r="D8" s="448"/>
      <c r="E8" s="449" t="s">
        <v>220</v>
      </c>
      <c r="F8" s="449" t="s">
        <v>49</v>
      </c>
      <c r="G8" s="449" t="s">
        <v>24</v>
      </c>
      <c r="H8" s="449" t="s">
        <v>50</v>
      </c>
      <c r="I8" s="559">
        <v>39629</v>
      </c>
    </row>
    <row r="9" spans="1:10" ht="12.75">
      <c r="A9" s="99"/>
      <c r="B9" s="102"/>
      <c r="C9" s="102"/>
      <c r="D9" s="103"/>
      <c r="E9" s="446"/>
      <c r="F9" s="446"/>
      <c r="G9" s="446"/>
      <c r="H9" s="446"/>
      <c r="I9" s="446"/>
      <c r="J9" s="97"/>
    </row>
    <row r="10" spans="1:10" ht="12.75">
      <c r="A10" s="650" t="s">
        <v>211</v>
      </c>
      <c r="B10" s="651"/>
      <c r="C10" s="651"/>
      <c r="D10" s="652"/>
      <c r="E10" s="98">
        <f>E12+E14+E16+E18+E20+E22+E24</f>
        <v>14547</v>
      </c>
      <c r="F10" s="98">
        <f>F12+F14+F16+F18+F20+F22+F24</f>
        <v>349</v>
      </c>
      <c r="G10" s="98">
        <f>G12+G14+G16+G18+G20+G22+G24</f>
        <v>0</v>
      </c>
      <c r="H10" s="98">
        <f>H12+H14+H16+H18+H20+H22+H24</f>
        <v>88</v>
      </c>
      <c r="I10" s="256">
        <f>I12+I14+I16+I18+I20+I22+I24</f>
        <v>14808</v>
      </c>
      <c r="J10" s="97"/>
    </row>
    <row r="11" spans="1:10" ht="12.75">
      <c r="A11" s="99"/>
      <c r="B11" s="100"/>
      <c r="C11" s="100"/>
      <c r="D11" s="261"/>
      <c r="E11" s="101"/>
      <c r="F11" s="101"/>
      <c r="G11" s="101"/>
      <c r="H11" s="101"/>
      <c r="I11" s="101"/>
      <c r="J11" s="97"/>
    </row>
    <row r="12" spans="1:10" ht="12.75">
      <c r="A12" s="656" t="s">
        <v>149</v>
      </c>
      <c r="B12" s="657"/>
      <c r="C12" s="657"/>
      <c r="D12" s="658"/>
      <c r="E12" s="101">
        <v>0</v>
      </c>
      <c r="F12" s="101">
        <v>0</v>
      </c>
      <c r="G12" s="101"/>
      <c r="H12" s="101">
        <v>0</v>
      </c>
      <c r="I12" s="101">
        <f>E12+F12-G12-H12</f>
        <v>0</v>
      </c>
      <c r="J12" s="97"/>
    </row>
    <row r="13" spans="1:10" ht="12.75">
      <c r="A13" s="99"/>
      <c r="B13" s="100"/>
      <c r="C13" s="100"/>
      <c r="D13" s="261"/>
      <c r="E13" s="101"/>
      <c r="F13" s="101"/>
      <c r="G13" s="101"/>
      <c r="H13" s="101"/>
      <c r="I13" s="101"/>
      <c r="J13" s="97"/>
    </row>
    <row r="14" spans="1:10" ht="12.75">
      <c r="A14" s="656" t="s">
        <v>202</v>
      </c>
      <c r="B14" s="659"/>
      <c r="C14" s="659"/>
      <c r="D14" s="660"/>
      <c r="E14" s="101">
        <v>1347</v>
      </c>
      <c r="F14" s="101">
        <v>92</v>
      </c>
      <c r="G14" s="101"/>
      <c r="H14" s="101">
        <v>2</v>
      </c>
      <c r="I14" s="101">
        <f>E14+F14-G14-H14</f>
        <v>1437</v>
      </c>
      <c r="J14" s="97"/>
    </row>
    <row r="15" spans="1:10" ht="12.75">
      <c r="A15" s="233"/>
      <c r="B15" s="100"/>
      <c r="C15" s="100"/>
      <c r="D15" s="261"/>
      <c r="E15" s="101"/>
      <c r="F15" s="101"/>
      <c r="G15" s="101"/>
      <c r="H15" s="101"/>
      <c r="I15" s="101"/>
      <c r="J15" s="97"/>
    </row>
    <row r="16" spans="1:10" ht="12.75">
      <c r="A16" s="656" t="s">
        <v>154</v>
      </c>
      <c r="B16" s="659"/>
      <c r="C16" s="659"/>
      <c r="D16" s="660"/>
      <c r="E16" s="101">
        <v>0</v>
      </c>
      <c r="F16" s="101"/>
      <c r="G16" s="101"/>
      <c r="H16" s="101"/>
      <c r="I16" s="101">
        <f>E16+F16-G16-H16</f>
        <v>0</v>
      </c>
      <c r="J16" s="97"/>
    </row>
    <row r="17" spans="1:10" ht="12.75">
      <c r="A17" s="233"/>
      <c r="B17" s="108"/>
      <c r="C17" s="108"/>
      <c r="D17" s="262"/>
      <c r="E17" s="101"/>
      <c r="F17" s="101"/>
      <c r="G17" s="101"/>
      <c r="H17" s="101"/>
      <c r="I17" s="101"/>
      <c r="J17" s="97"/>
    </row>
    <row r="18" spans="1:10" ht="12.75">
      <c r="A18" s="656" t="s">
        <v>151</v>
      </c>
      <c r="B18" s="659"/>
      <c r="C18" s="659"/>
      <c r="D18" s="660"/>
      <c r="E18" s="101">
        <v>1915</v>
      </c>
      <c r="F18" s="101">
        <v>134</v>
      </c>
      <c r="G18" s="101"/>
      <c r="H18" s="101"/>
      <c r="I18" s="101">
        <f>E18+F18-G18-H18</f>
        <v>2049</v>
      </c>
      <c r="J18" s="225"/>
    </row>
    <row r="19" spans="1:10" ht="12.75">
      <c r="A19" s="257"/>
      <c r="B19" s="258"/>
      <c r="C19" s="258"/>
      <c r="D19" s="263"/>
      <c r="E19" s="101"/>
      <c r="F19" s="101"/>
      <c r="G19" s="101"/>
      <c r="H19" s="101"/>
      <c r="I19" s="101"/>
      <c r="J19" s="97"/>
    </row>
    <row r="20" spans="1:10" ht="12.75">
      <c r="A20" s="260" t="s">
        <v>152</v>
      </c>
      <c r="B20" s="258"/>
      <c r="C20" s="258"/>
      <c r="D20" s="263"/>
      <c r="E20" s="101">
        <v>1523</v>
      </c>
      <c r="F20" s="101">
        <v>23</v>
      </c>
      <c r="G20" s="101"/>
      <c r="H20" s="101"/>
      <c r="I20" s="101">
        <f>E20+F20-G20-H20</f>
        <v>1546</v>
      </c>
      <c r="J20" s="97"/>
    </row>
    <row r="21" spans="1:10" ht="12.75">
      <c r="A21" s="97"/>
      <c r="B21" s="102"/>
      <c r="C21" s="102"/>
      <c r="D21" s="263"/>
      <c r="E21" s="101"/>
      <c r="F21" s="101"/>
      <c r="G21" s="101"/>
      <c r="H21" s="101"/>
      <c r="I21" s="101"/>
      <c r="J21" s="97"/>
    </row>
    <row r="22" spans="1:10" ht="12.75">
      <c r="A22" s="264" t="s">
        <v>153</v>
      </c>
      <c r="B22" s="102"/>
      <c r="C22" s="102"/>
      <c r="D22" s="263"/>
      <c r="E22" s="101">
        <v>8053</v>
      </c>
      <c r="F22" s="101"/>
      <c r="G22" s="101"/>
      <c r="H22" s="101"/>
      <c r="I22" s="101">
        <f>E22+F22-G22-H22</f>
        <v>8053</v>
      </c>
      <c r="J22" s="97"/>
    </row>
    <row r="23" spans="1:10" ht="12.75">
      <c r="A23" s="97"/>
      <c r="B23" s="102"/>
      <c r="C23" s="102"/>
      <c r="D23" s="263"/>
      <c r="E23" s="101"/>
      <c r="F23" s="101"/>
      <c r="G23" s="101"/>
      <c r="H23" s="101"/>
      <c r="I23" s="101"/>
      <c r="J23" s="97"/>
    </row>
    <row r="24" spans="1:10" ht="12.75">
      <c r="A24" s="264" t="s">
        <v>155</v>
      </c>
      <c r="B24" s="102"/>
      <c r="C24" s="102"/>
      <c r="D24" s="263"/>
      <c r="E24" s="101">
        <v>1709</v>
      </c>
      <c r="F24" s="101">
        <v>100</v>
      </c>
      <c r="G24" s="101"/>
      <c r="H24" s="101">
        <f>-14+100</f>
        <v>86</v>
      </c>
      <c r="I24" s="101">
        <f>E24+F24-G24-H24</f>
        <v>1723</v>
      </c>
      <c r="J24" s="97"/>
    </row>
    <row r="25" spans="1:10" ht="12.75">
      <c r="A25" s="97"/>
      <c r="B25" s="102"/>
      <c r="C25" s="102"/>
      <c r="D25" s="263"/>
      <c r="E25" s="101"/>
      <c r="F25" s="101"/>
      <c r="G25" s="101"/>
      <c r="H25" s="101"/>
      <c r="I25" s="101"/>
      <c r="J25" s="97"/>
    </row>
    <row r="26" spans="1:10" ht="12.75">
      <c r="A26" s="650" t="s">
        <v>51</v>
      </c>
      <c r="B26" s="651"/>
      <c r="C26" s="651"/>
      <c r="D26" s="652"/>
      <c r="E26" s="98">
        <v>30</v>
      </c>
      <c r="F26" s="98">
        <f>F28</f>
        <v>0</v>
      </c>
      <c r="G26" s="98">
        <f>G28</f>
        <v>0</v>
      </c>
      <c r="H26" s="98">
        <f>H28</f>
        <v>8</v>
      </c>
      <c r="I26" s="98">
        <f>I28</f>
        <v>15</v>
      </c>
      <c r="J26" s="97"/>
    </row>
    <row r="27" spans="1:10" ht="12.75">
      <c r="A27" s="259"/>
      <c r="B27" s="258"/>
      <c r="C27" s="258"/>
      <c r="D27" s="263"/>
      <c r="E27" s="101"/>
      <c r="F27" s="101"/>
      <c r="G27" s="101"/>
      <c r="H27" s="101"/>
      <c r="I27" s="101"/>
      <c r="J27" s="97"/>
    </row>
    <row r="28" spans="1:10" ht="12.75">
      <c r="A28" s="653" t="s">
        <v>198</v>
      </c>
      <c r="B28" s="654"/>
      <c r="C28" s="654"/>
      <c r="D28" s="655"/>
      <c r="E28" s="101">
        <v>23</v>
      </c>
      <c r="F28" s="101">
        <v>0</v>
      </c>
      <c r="G28" s="101">
        <v>0</v>
      </c>
      <c r="H28" s="101">
        <v>8</v>
      </c>
      <c r="I28" s="101">
        <f>E28+F28-G28-H28</f>
        <v>15</v>
      </c>
      <c r="J28" s="97"/>
    </row>
    <row r="29" spans="1:10" ht="12.75">
      <c r="A29" s="653" t="s">
        <v>199</v>
      </c>
      <c r="B29" s="654"/>
      <c r="C29" s="654"/>
      <c r="D29" s="655"/>
      <c r="E29" s="101"/>
      <c r="F29" s="101"/>
      <c r="G29" s="101"/>
      <c r="H29" s="101"/>
      <c r="I29" s="101">
        <f>E29+F29-G29-H29</f>
        <v>0</v>
      </c>
      <c r="J29" s="97"/>
    </row>
    <row r="30" spans="1:10" ht="13.5" thickBot="1">
      <c r="A30" s="99"/>
      <c r="B30" s="100"/>
      <c r="C30" s="100"/>
      <c r="D30" s="261"/>
      <c r="E30" s="101"/>
      <c r="F30" s="101"/>
      <c r="G30" s="101"/>
      <c r="H30" s="101"/>
      <c r="I30" s="101"/>
      <c r="J30" s="97"/>
    </row>
    <row r="31" spans="1:10" ht="12.75">
      <c r="A31" s="441"/>
      <c r="B31" s="442"/>
      <c r="C31" s="442"/>
      <c r="D31" s="442"/>
      <c r="E31" s="450"/>
      <c r="F31" s="453"/>
      <c r="G31" s="450"/>
      <c r="H31" s="453"/>
      <c r="I31" s="450"/>
      <c r="J31" s="102"/>
    </row>
    <row r="32" spans="1:10" ht="12.75">
      <c r="A32" s="648" t="s">
        <v>150</v>
      </c>
      <c r="B32" s="649"/>
      <c r="C32" s="649"/>
      <c r="D32" s="649"/>
      <c r="E32" s="451">
        <f>E26+E10</f>
        <v>14577</v>
      </c>
      <c r="F32" s="454">
        <f>F26+F10</f>
        <v>349</v>
      </c>
      <c r="G32" s="451">
        <f>G26+G10</f>
        <v>0</v>
      </c>
      <c r="H32" s="454">
        <f>H26+H10</f>
        <v>96</v>
      </c>
      <c r="I32" s="451">
        <f>I26+I10</f>
        <v>14823</v>
      </c>
      <c r="J32" s="102"/>
    </row>
    <row r="33" spans="1:10" ht="13.5" thickBot="1">
      <c r="A33" s="443"/>
      <c r="B33" s="444"/>
      <c r="C33" s="445"/>
      <c r="D33" s="445"/>
      <c r="E33" s="452"/>
      <c r="F33" s="455"/>
      <c r="G33" s="452"/>
      <c r="H33" s="455"/>
      <c r="I33" s="452"/>
      <c r="J33" s="102"/>
    </row>
    <row r="34" spans="1:10" ht="12.75">
      <c r="A34" s="100"/>
      <c r="B34" s="102"/>
      <c r="C34" s="100"/>
      <c r="D34" s="100"/>
      <c r="E34" s="102"/>
      <c r="F34" s="102"/>
      <c r="G34" s="102"/>
      <c r="H34" s="102"/>
      <c r="I34" s="102"/>
      <c r="J34" s="102"/>
    </row>
    <row r="35" spans="9:10" ht="12.75">
      <c r="I35" s="102"/>
      <c r="J35" s="102"/>
    </row>
    <row r="36" spans="9:10" ht="12.75">
      <c r="I36" s="102"/>
      <c r="J36" s="102"/>
    </row>
    <row r="37" spans="5:10" ht="12.75">
      <c r="E37" s="94"/>
      <c r="I37" s="102"/>
      <c r="J37" s="102"/>
    </row>
    <row r="38" spans="1:13" s="102" customFormat="1" ht="12.75">
      <c r="A38" s="93"/>
      <c r="B38" s="93"/>
      <c r="C38" s="93"/>
      <c r="D38" s="93"/>
      <c r="E38" s="94"/>
      <c r="F38" s="93"/>
      <c r="G38" s="93"/>
      <c r="H38" s="93"/>
      <c r="K38" s="94"/>
      <c r="L38" s="95"/>
      <c r="M38" s="93"/>
    </row>
    <row r="39" spans="1:13" s="102" customFormat="1" ht="12.75">
      <c r="A39" s="93"/>
      <c r="B39" s="93"/>
      <c r="C39" s="93"/>
      <c r="D39" s="93"/>
      <c r="E39" s="93"/>
      <c r="F39" s="93"/>
      <c r="G39" s="93"/>
      <c r="H39" s="93"/>
      <c r="K39" s="94"/>
      <c r="L39" s="95"/>
      <c r="M39" s="93"/>
    </row>
    <row r="40" spans="1:13" s="102" customFormat="1" ht="12.75">
      <c r="A40" s="93"/>
      <c r="B40" s="93"/>
      <c r="C40" s="93"/>
      <c r="D40" s="93"/>
      <c r="E40" s="93"/>
      <c r="F40" s="93"/>
      <c r="G40" s="93"/>
      <c r="H40" s="93"/>
      <c r="K40" s="94"/>
      <c r="L40" s="95"/>
      <c r="M40" s="93"/>
    </row>
    <row r="41" spans="1:13" s="102" customFormat="1" ht="12.75">
      <c r="A41" s="93"/>
      <c r="B41" s="93"/>
      <c r="C41" s="93"/>
      <c r="D41" s="93"/>
      <c r="E41" s="93"/>
      <c r="F41" s="93"/>
      <c r="G41" s="93"/>
      <c r="H41" s="93"/>
      <c r="K41" s="94"/>
      <c r="L41" s="95"/>
      <c r="M41" s="93"/>
    </row>
    <row r="42" spans="9:10" ht="12.75">
      <c r="I42" s="102"/>
      <c r="J42" s="102"/>
    </row>
    <row r="43" spans="9:10" ht="12.75">
      <c r="I43" s="102"/>
      <c r="J43" s="102"/>
    </row>
    <row r="44" spans="9:10" ht="12.75">
      <c r="I44" s="102"/>
      <c r="J44" s="102"/>
    </row>
    <row r="45" spans="9:10" ht="12.75">
      <c r="I45" s="102"/>
      <c r="J45" s="102"/>
    </row>
    <row r="46" spans="9:10" ht="12.75">
      <c r="I46" s="102"/>
      <c r="J46" s="102"/>
    </row>
    <row r="47" spans="9:10" ht="12.75">
      <c r="I47" s="102"/>
      <c r="J47" s="102"/>
    </row>
    <row r="48" spans="9:10" ht="12.75">
      <c r="I48" s="102"/>
      <c r="J48" s="102"/>
    </row>
    <row r="49" spans="9:10" ht="12.75">
      <c r="I49" s="102"/>
      <c r="J49" s="102"/>
    </row>
    <row r="50" spans="9:10" ht="12.75">
      <c r="I50" s="102"/>
      <c r="J50" s="102"/>
    </row>
    <row r="51" spans="9:10" ht="12.75">
      <c r="I51" s="102"/>
      <c r="J51" s="102"/>
    </row>
    <row r="52" spans="9:10" ht="12.75">
      <c r="I52" s="102"/>
      <c r="J52" s="102"/>
    </row>
    <row r="53" spans="9:10" ht="12.75">
      <c r="I53" s="102"/>
      <c r="J53" s="102"/>
    </row>
    <row r="54" spans="9:10" ht="12.75">
      <c r="I54" s="102"/>
      <c r="J54" s="102"/>
    </row>
    <row r="55" spans="9:10" ht="12.75">
      <c r="I55" s="102"/>
      <c r="J55" s="102"/>
    </row>
    <row r="56" spans="9:10" ht="12.75">
      <c r="I56" s="102"/>
      <c r="J56" s="102"/>
    </row>
    <row r="57" spans="9:10" ht="12.75">
      <c r="I57" s="102"/>
      <c r="J57" s="102"/>
    </row>
    <row r="58" spans="9:10" ht="12.75">
      <c r="I58" s="102"/>
      <c r="J58" s="102"/>
    </row>
    <row r="59" spans="9:10" ht="12.75">
      <c r="I59" s="102"/>
      <c r="J59" s="102"/>
    </row>
    <row r="60" spans="9:10" ht="12.75">
      <c r="I60" s="102"/>
      <c r="J60" s="102"/>
    </row>
    <row r="61" spans="9:10" ht="12.75">
      <c r="I61" s="102"/>
      <c r="J61" s="102"/>
    </row>
    <row r="62" spans="9:10" ht="12.75">
      <c r="I62" s="102"/>
      <c r="J62" s="102"/>
    </row>
    <row r="63" spans="9:10" ht="12.75">
      <c r="I63" s="102"/>
      <c r="J63" s="102"/>
    </row>
    <row r="64" spans="9:10" ht="12.75">
      <c r="I64" s="102"/>
      <c r="J64" s="102"/>
    </row>
    <row r="65" spans="9:10" ht="12.75">
      <c r="I65" s="102"/>
      <c r="J65" s="102"/>
    </row>
    <row r="66" spans="9:10" ht="12.75">
      <c r="I66" s="102"/>
      <c r="J66" s="102"/>
    </row>
    <row r="67" spans="9:10" ht="12.75">
      <c r="I67" s="102"/>
      <c r="J67" s="102"/>
    </row>
    <row r="68" spans="9:10" ht="12.75">
      <c r="I68" s="102"/>
      <c r="J68" s="102"/>
    </row>
    <row r="69" spans="9:10" ht="12.75">
      <c r="I69" s="102"/>
      <c r="J69" s="102"/>
    </row>
    <row r="70" spans="9:10" ht="12.75">
      <c r="I70" s="102"/>
      <c r="J70" s="102"/>
    </row>
    <row r="71" spans="9:10" ht="12.75">
      <c r="I71" s="102"/>
      <c r="J71" s="102"/>
    </row>
    <row r="72" spans="9:10" ht="12.75">
      <c r="I72" s="102"/>
      <c r="J72" s="102"/>
    </row>
    <row r="73" spans="9:10" ht="12.75">
      <c r="I73" s="102"/>
      <c r="J73" s="102"/>
    </row>
    <row r="74" ht="12.75">
      <c r="I74" s="102"/>
    </row>
    <row r="75" ht="12.75">
      <c r="I75" s="102"/>
    </row>
    <row r="76" ht="12.75">
      <c r="I76" s="102"/>
    </row>
    <row r="77" ht="12.75">
      <c r="I77" s="102"/>
    </row>
    <row r="78" ht="12.75">
      <c r="I78" s="102"/>
    </row>
    <row r="79" ht="12.75">
      <c r="I79" s="102"/>
    </row>
    <row r="80" ht="12.75">
      <c r="I80" s="102"/>
    </row>
    <row r="81" ht="12.75">
      <c r="I81" s="102"/>
    </row>
    <row r="94" ht="12.75">
      <c r="I94" s="103"/>
    </row>
    <row r="95" ht="12.75">
      <c r="I95" s="103"/>
    </row>
    <row r="96" ht="12.75">
      <c r="I96" s="103"/>
    </row>
    <row r="97" ht="12.75">
      <c r="I97" s="103"/>
    </row>
    <row r="98" ht="12.75">
      <c r="I98" s="103"/>
    </row>
    <row r="99" ht="12.75">
      <c r="I99" s="103"/>
    </row>
    <row r="100" ht="12.75">
      <c r="I100" s="103"/>
    </row>
    <row r="101" ht="12.75">
      <c r="I101" s="103"/>
    </row>
    <row r="102" ht="12.75">
      <c r="I102" s="103"/>
    </row>
    <row r="103" ht="12.75">
      <c r="I103" s="103"/>
    </row>
    <row r="104" ht="12.75">
      <c r="I104" s="103"/>
    </row>
    <row r="105" ht="12.75">
      <c r="I105" s="103"/>
    </row>
    <row r="106" ht="12.75">
      <c r="I106" s="103"/>
    </row>
    <row r="107" ht="12.75">
      <c r="I107" s="103"/>
    </row>
    <row r="108" ht="12.75">
      <c r="I108" s="103"/>
    </row>
    <row r="127" spans="9:11" ht="12.75">
      <c r="I127" s="96"/>
      <c r="K127" s="104"/>
    </row>
    <row r="129" ht="12.75">
      <c r="B129" s="105"/>
    </row>
    <row r="131" ht="12.75">
      <c r="B131" s="105"/>
    </row>
    <row r="133" spans="2:11" ht="12.75">
      <c r="B133" s="105"/>
      <c r="I133" s="102"/>
      <c r="K133" s="106"/>
    </row>
    <row r="136" spans="1:4" ht="12.75">
      <c r="A136" s="107"/>
      <c r="B136" s="107"/>
      <c r="C136" s="107"/>
      <c r="D136" s="107"/>
    </row>
    <row r="138" spans="1:4" ht="12.75">
      <c r="A138" s="108"/>
      <c r="C138" s="100"/>
      <c r="D138" s="100"/>
    </row>
    <row r="140" spans="1:4" ht="12.75">
      <c r="A140" s="108"/>
      <c r="C140" s="100"/>
      <c r="D140" s="100"/>
    </row>
    <row r="141" spans="1:4" ht="12.75">
      <c r="A141" s="108"/>
      <c r="C141" s="100"/>
      <c r="D141" s="100"/>
    </row>
    <row r="143" spans="1:4" ht="12.75">
      <c r="A143" s="108"/>
      <c r="C143" s="100"/>
      <c r="D143" s="100"/>
    </row>
  </sheetData>
  <mergeCells count="10">
    <mergeCell ref="A6:I6"/>
    <mergeCell ref="A32:D32"/>
    <mergeCell ref="A10:D10"/>
    <mergeCell ref="A28:D28"/>
    <mergeCell ref="A12:D12"/>
    <mergeCell ref="A14:D14"/>
    <mergeCell ref="A16:D16"/>
    <mergeCell ref="A18:D18"/>
    <mergeCell ref="A26:D26"/>
    <mergeCell ref="A29:D29"/>
  </mergeCells>
  <printOptions horizontalCentered="1" verticalCentered="1"/>
  <pageMargins left="0.1968503937007874" right="0.1968503937007874" top="0.3937007874015748" bottom="0.3937007874015748" header="0.4330708661417323" footer="0.5118110236220472"/>
  <pageSetup horizontalDpi="300" verticalDpi="300" orientation="landscape" paperSize="9" scale="95" r:id="rId2"/>
  <headerFooter alignWithMargins="0">
    <oddHeader>&amp;R&amp;"Arial,Gras"&amp;18NOTES ANNEXES AUX COMPTES SOCIAUX &amp;B</oddHeader>
  </headerFooter>
  <rowBreaks count="1" manualBreakCount="1">
    <brk id="83" max="6553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BNP NC</dc:creator>
  <cp:keywords/>
  <dc:description/>
  <cp:lastModifiedBy>pm8803aa</cp:lastModifiedBy>
  <cp:lastPrinted>2008-08-28T06:07:49Z</cp:lastPrinted>
  <dcterms:created xsi:type="dcterms:W3CDTF">2004-01-16T06:55:18Z</dcterms:created>
  <dcterms:modified xsi:type="dcterms:W3CDTF">2009-08-03T10:04:42Z</dcterms:modified>
  <cp:category/>
  <cp:version/>
  <cp:contentType/>
  <cp:contentStatus/>
</cp:coreProperties>
</file>